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485" yWindow="-240" windowWidth="17235" windowHeight="11565" tabRatio="239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Лист1!$A$1:$AB$171</definedName>
  </definedNames>
  <calcPr calcId="145621" refMode="R1C1"/>
</workbook>
</file>

<file path=xl/calcChain.xml><?xml version="1.0" encoding="utf-8"?>
<calcChain xmlns="http://schemas.openxmlformats.org/spreadsheetml/2006/main">
  <c r="O67" i="1" l="1"/>
  <c r="Q166" i="1" l="1"/>
  <c r="P166" i="1"/>
  <c r="O166" i="1"/>
  <c r="Q165" i="1"/>
  <c r="P165" i="1"/>
  <c r="O165" i="1"/>
  <c r="V134" i="1" l="1"/>
  <c r="V65" i="1"/>
  <c r="V120" i="1"/>
  <c r="Y130" i="1"/>
  <c r="Y80" i="1"/>
  <c r="Y125" i="1"/>
  <c r="Y85" i="1"/>
  <c r="W134" i="1"/>
  <c r="W136" i="1"/>
  <c r="W65" i="1"/>
  <c r="S127" i="1"/>
  <c r="S125" i="1"/>
  <c r="S124" i="1"/>
  <c r="Y44" i="1"/>
  <c r="Y33" i="1" l="1"/>
  <c r="Y32" i="1"/>
  <c r="Y30" i="1"/>
  <c r="Y29" i="1"/>
  <c r="Y19" i="1"/>
  <c r="Y17" i="1"/>
  <c r="Y13" i="1"/>
  <c r="Y11" i="1"/>
  <c r="Y10" i="1"/>
  <c r="AA166" i="1" l="1"/>
  <c r="Z166" i="1"/>
  <c r="AA165" i="1"/>
  <c r="Z165" i="1"/>
  <c r="U166" i="1"/>
  <c r="T166" i="1"/>
  <c r="U165" i="1"/>
  <c r="T165" i="1"/>
  <c r="W133" i="1"/>
  <c r="W140" i="1"/>
  <c r="W131" i="1"/>
  <c r="T78" i="1"/>
  <c r="T77" i="1"/>
  <c r="T74" i="1"/>
  <c r="T69" i="1"/>
  <c r="T67" i="1"/>
  <c r="S78" i="1"/>
  <c r="S77" i="1"/>
  <c r="S76" i="1"/>
  <c r="S69" i="1"/>
  <c r="P78" i="1"/>
  <c r="P77" i="1"/>
  <c r="P74" i="1"/>
  <c r="P69" i="1"/>
  <c r="P67" i="1"/>
  <c r="O78" i="1"/>
  <c r="O77" i="1"/>
  <c r="O76" i="1"/>
  <c r="S61" i="1" l="1"/>
  <c r="O61" i="1"/>
  <c r="F149" i="1" l="1"/>
  <c r="S151" i="1" l="1"/>
  <c r="Y166" i="1"/>
  <c r="Y165" i="1"/>
  <c r="S166" i="1"/>
  <c r="S165" i="1"/>
  <c r="W94" i="1"/>
  <c r="V95" i="1"/>
  <c r="V94" i="1"/>
  <c r="S96" i="1"/>
  <c r="T94" i="1"/>
  <c r="S94" i="1"/>
  <c r="S93" i="1"/>
  <c r="P94" i="1"/>
  <c r="O95" i="1"/>
  <c r="O94" i="1"/>
  <c r="O93" i="1"/>
  <c r="W61" i="1"/>
  <c r="V61" i="1"/>
  <c r="W60" i="1"/>
  <c r="V60" i="1"/>
  <c r="V59" i="1"/>
  <c r="T61" i="1"/>
  <c r="T60" i="1"/>
  <c r="S60" i="1"/>
  <c r="S59" i="1"/>
  <c r="P61" i="1"/>
  <c r="P60" i="1"/>
  <c r="O60" i="1"/>
  <c r="O59" i="1"/>
  <c r="W53" i="1" l="1"/>
  <c r="V53" i="1"/>
  <c r="Z134" i="1"/>
  <c r="Y134" i="1"/>
  <c r="Y43" i="1"/>
  <c r="Y131" i="1"/>
  <c r="Z131" i="1"/>
  <c r="Y132" i="1"/>
  <c r="Z132" i="1"/>
  <c r="Y133" i="1"/>
  <c r="Z133" i="1"/>
  <c r="Y135" i="1"/>
  <c r="Z135" i="1"/>
  <c r="Y136" i="1"/>
  <c r="Z136" i="1"/>
  <c r="Y137" i="1"/>
  <c r="Z137" i="1"/>
  <c r="Y139" i="1"/>
  <c r="Z139" i="1"/>
  <c r="Y140" i="1"/>
  <c r="Z140" i="1"/>
  <c r="Y141" i="1"/>
  <c r="Z141" i="1"/>
  <c r="Y142" i="1"/>
  <c r="Z142" i="1"/>
  <c r="Z130" i="1"/>
  <c r="Y31" i="1"/>
  <c r="Y116" i="1"/>
  <c r="Y113" i="1"/>
  <c r="Y102" i="1"/>
  <c r="Z89" i="1"/>
  <c r="Z90" i="1"/>
  <c r="Z91" i="1"/>
  <c r="Y93" i="1"/>
  <c r="Z93" i="1"/>
  <c r="Y94" i="1"/>
  <c r="Z94" i="1"/>
  <c r="Y95" i="1"/>
  <c r="Z95" i="1"/>
  <c r="Z96" i="1"/>
  <c r="Y81" i="1"/>
  <c r="Z81" i="1"/>
  <c r="Z83" i="1"/>
  <c r="Z85" i="1"/>
  <c r="Z79" i="1"/>
  <c r="Y79" i="1"/>
  <c r="Y68" i="1"/>
  <c r="Z68" i="1"/>
  <c r="Y69" i="1"/>
  <c r="Z69" i="1"/>
  <c r="Y70" i="1"/>
  <c r="Z70" i="1"/>
  <c r="Y71" i="1"/>
  <c r="Z71" i="1"/>
  <c r="Y72" i="1"/>
  <c r="Z72" i="1"/>
  <c r="Y73" i="1"/>
  <c r="Z73" i="1"/>
  <c r="Y74" i="1"/>
  <c r="Z74" i="1"/>
  <c r="Y76" i="1"/>
  <c r="Z76" i="1"/>
  <c r="Y77" i="1"/>
  <c r="Z77" i="1"/>
  <c r="Y78" i="1"/>
  <c r="Z78" i="1"/>
  <c r="Z67" i="1"/>
  <c r="Y67" i="1"/>
  <c r="Y60" i="1"/>
  <c r="Z60" i="1"/>
  <c r="Y61" i="1"/>
  <c r="Z61" i="1"/>
  <c r="Y65" i="1"/>
  <c r="Z65" i="1"/>
  <c r="Z55" i="1"/>
  <c r="Z56" i="1"/>
  <c r="Y59" i="1"/>
  <c r="Z59" i="1"/>
  <c r="Y45" i="1"/>
  <c r="Y46" i="1"/>
  <c r="Y47" i="1"/>
  <c r="Y40" i="1"/>
  <c r="Y41" i="1"/>
  <c r="S103" i="1"/>
  <c r="S84" i="1" s="1"/>
  <c r="S102" i="1"/>
  <c r="S101" i="1"/>
  <c r="S82" i="1" s="1"/>
  <c r="S91" i="1"/>
  <c r="S57" i="1" s="1"/>
  <c r="S90" i="1"/>
  <c r="S87" i="1" s="1"/>
  <c r="S89" i="1"/>
  <c r="S83" i="1"/>
  <c r="S63" i="1"/>
  <c r="S62" i="1"/>
  <c r="S56" i="1"/>
  <c r="S55" i="1"/>
  <c r="S53" i="1" s="1"/>
  <c r="O103" i="1"/>
  <c r="O84" i="1" s="1"/>
  <c r="Y84" i="1" s="1"/>
  <c r="O101" i="1"/>
  <c r="O82" i="1" s="1"/>
  <c r="Y82" i="1" s="1"/>
  <c r="O97" i="1"/>
  <c r="O63" i="1" s="1"/>
  <c r="Y63" i="1" s="1"/>
  <c r="O96" i="1"/>
  <c r="Y96" i="1" s="1"/>
  <c r="O91" i="1"/>
  <c r="Y91" i="1" s="1"/>
  <c r="O90" i="1"/>
  <c r="Y90" i="1" s="1"/>
  <c r="O89" i="1"/>
  <c r="Y89" i="1" s="1"/>
  <c r="O83" i="1"/>
  <c r="Y83" i="1" s="1"/>
  <c r="O62" i="1"/>
  <c r="Y62" i="1" s="1"/>
  <c r="O56" i="1"/>
  <c r="Y56" i="1" s="1"/>
  <c r="O55" i="1"/>
  <c r="Y55" i="1" s="1"/>
  <c r="S49" i="1"/>
  <c r="Y49" i="1" s="1"/>
  <c r="S48" i="1"/>
  <c r="Y48" i="1" s="1"/>
  <c r="S47" i="1"/>
  <c r="S36" i="1"/>
  <c r="O36" i="1"/>
  <c r="O33" i="1"/>
  <c r="S30" i="1"/>
  <c r="O27" i="1"/>
  <c r="Y27" i="1" s="1"/>
  <c r="S25" i="1"/>
  <c r="O25" i="1"/>
  <c r="Y25" i="1" s="1"/>
  <c r="T84" i="1"/>
  <c r="T63" i="1"/>
  <c r="T62" i="1"/>
  <c r="T57" i="1"/>
  <c r="T53" i="1"/>
  <c r="P84" i="1"/>
  <c r="Z84" i="1" s="1"/>
  <c r="P82" i="1"/>
  <c r="Z82" i="1" s="1"/>
  <c r="P63" i="1"/>
  <c r="Z63" i="1" s="1"/>
  <c r="P62" i="1"/>
  <c r="Z62" i="1" s="1"/>
  <c r="P57" i="1"/>
  <c r="Z57" i="1" s="1"/>
  <c r="P53" i="1"/>
  <c r="Z53" i="1" s="1"/>
  <c r="T48" i="1"/>
  <c r="Z48" i="1" s="1"/>
  <c r="T47" i="1"/>
  <c r="T49" i="1"/>
  <c r="T36" i="1"/>
  <c r="P36" i="1"/>
  <c r="T31" i="1"/>
  <c r="P31" i="1"/>
  <c r="O53" i="1" l="1"/>
  <c r="Y53" i="1" s="1"/>
  <c r="Y101" i="1"/>
  <c r="O57" i="1"/>
  <c r="Y57" i="1" s="1"/>
  <c r="P80" i="1"/>
  <c r="Z80" i="1" s="1"/>
  <c r="O87" i="1"/>
  <c r="Y87" i="1" s="1"/>
  <c r="S80" i="1"/>
  <c r="Y103" i="1"/>
  <c r="O80" i="1"/>
  <c r="I151" i="1"/>
  <c r="I149" i="1"/>
  <c r="J84" i="1"/>
  <c r="J36" i="1"/>
  <c r="O149" i="1"/>
  <c r="P149" i="1"/>
  <c r="F127" i="1"/>
  <c r="I127" i="1" s="1"/>
  <c r="J61" i="1"/>
  <c r="J78" i="1"/>
  <c r="J77" i="1"/>
  <c r="J31" i="1"/>
  <c r="I125" i="1" l="1"/>
  <c r="I113" i="1"/>
  <c r="I44" i="1"/>
  <c r="I40" i="1"/>
  <c r="I14" i="1"/>
  <c r="I13" i="1"/>
  <c r="I11" i="1"/>
  <c r="I10" i="1"/>
  <c r="I135" i="1"/>
  <c r="V87" i="1"/>
  <c r="W80" i="1"/>
  <c r="V80" i="1"/>
  <c r="T80" i="1"/>
  <c r="T43" i="1"/>
  <c r="H166" i="1"/>
  <c r="G166" i="1"/>
  <c r="F166" i="1" s="1"/>
  <c r="H165" i="1"/>
  <c r="G165" i="1"/>
  <c r="F165" i="1" l="1"/>
  <c r="G148" i="1"/>
  <c r="J148" i="1" s="1"/>
  <c r="F148" i="1"/>
  <c r="I148" i="1" s="1"/>
  <c r="F141" i="1"/>
  <c r="I141" i="1" s="1"/>
  <c r="G140" i="1"/>
  <c r="J140" i="1" s="1"/>
  <c r="F140" i="1"/>
  <c r="I140" i="1" s="1"/>
  <c r="G139" i="1"/>
  <c r="J139" i="1" s="1"/>
  <c r="F139" i="1"/>
  <c r="I139" i="1" s="1"/>
  <c r="G137" i="1"/>
  <c r="J137" i="1" s="1"/>
  <c r="F137" i="1"/>
  <c r="I137" i="1" s="1"/>
  <c r="G136" i="1"/>
  <c r="J136" i="1" s="1"/>
  <c r="F136" i="1"/>
  <c r="I136" i="1" s="1"/>
  <c r="G134" i="1"/>
  <c r="J134" i="1" s="1"/>
  <c r="F134" i="1"/>
  <c r="I134" i="1" s="1"/>
  <c r="G133" i="1"/>
  <c r="J133" i="1" s="1"/>
  <c r="F133" i="1"/>
  <c r="I133" i="1" s="1"/>
  <c r="G132" i="1"/>
  <c r="J132" i="1" s="1"/>
  <c r="F132" i="1"/>
  <c r="I132" i="1" s="1"/>
  <c r="G130" i="1"/>
  <c r="J130" i="1" s="1"/>
  <c r="F130" i="1"/>
  <c r="I130" i="1" s="1"/>
  <c r="F124" i="1"/>
  <c r="I124" i="1" s="1"/>
  <c r="F120" i="1"/>
  <c r="I120" i="1" s="1"/>
  <c r="G106" i="1"/>
  <c r="J106" i="1" s="1"/>
  <c r="F106" i="1"/>
  <c r="I106" i="1" s="1"/>
  <c r="I97" i="1"/>
  <c r="F96" i="1"/>
  <c r="I96" i="1" s="1"/>
  <c r="F95" i="1"/>
  <c r="I95" i="1" s="1"/>
  <c r="G94" i="1"/>
  <c r="J94" i="1" s="1"/>
  <c r="F94" i="1"/>
  <c r="I94" i="1" s="1"/>
  <c r="F93" i="1"/>
  <c r="I93" i="1" s="1"/>
  <c r="G91" i="1"/>
  <c r="J91" i="1" s="1"/>
  <c r="F91" i="1"/>
  <c r="I91" i="1" s="1"/>
  <c r="F90" i="1"/>
  <c r="I90" i="1" s="1"/>
  <c r="F89" i="1"/>
  <c r="I89" i="1" s="1"/>
  <c r="F87" i="1"/>
  <c r="I87" i="1" s="1"/>
  <c r="F84" i="1"/>
  <c r="I84" i="1" s="1"/>
  <c r="F77" i="1"/>
  <c r="I77" i="1" s="1"/>
  <c r="G76" i="1"/>
  <c r="J76" i="1" s="1"/>
  <c r="F76" i="1"/>
  <c r="I76" i="1" s="1"/>
  <c r="G74" i="1"/>
  <c r="J74" i="1" s="1"/>
  <c r="F74" i="1"/>
  <c r="I74" i="1" s="1"/>
  <c r="F71" i="1"/>
  <c r="I71" i="1" s="1"/>
  <c r="F70" i="1"/>
  <c r="I70" i="1" s="1"/>
  <c r="G69" i="1"/>
  <c r="J69" i="1" s="1"/>
  <c r="F69" i="1"/>
  <c r="I69" i="1" s="1"/>
  <c r="G67" i="1"/>
  <c r="J67" i="1" s="1"/>
  <c r="F67" i="1"/>
  <c r="I67" i="1" s="1"/>
  <c r="G65" i="1"/>
  <c r="J65" i="1" s="1"/>
  <c r="F65" i="1"/>
  <c r="I65" i="1" s="1"/>
  <c r="G62" i="1"/>
  <c r="J62" i="1" s="1"/>
  <c r="F62" i="1"/>
  <c r="I62" i="1" s="1"/>
  <c r="G60" i="1"/>
  <c r="J60" i="1" s="1"/>
  <c r="F60" i="1"/>
  <c r="I60" i="1" s="1"/>
  <c r="G59" i="1"/>
  <c r="J59" i="1" s="1"/>
  <c r="F59" i="1"/>
  <c r="I59" i="1" s="1"/>
  <c r="G57" i="1"/>
  <c r="J57" i="1" s="1"/>
  <c r="F57" i="1"/>
  <c r="I57" i="1" s="1"/>
  <c r="G56" i="1"/>
  <c r="J56" i="1" s="1"/>
  <c r="F56" i="1"/>
  <c r="I56" i="1" s="1"/>
  <c r="G55" i="1"/>
  <c r="J55" i="1" s="1"/>
  <c r="F55" i="1"/>
  <c r="I55" i="1" s="1"/>
  <c r="G53" i="1"/>
  <c r="J53" i="1" s="1"/>
  <c r="F53" i="1"/>
  <c r="I53" i="1" s="1"/>
  <c r="F46" i="1"/>
  <c r="I46" i="1" s="1"/>
  <c r="F45" i="1"/>
  <c r="I45" i="1" s="1"/>
  <c r="F43" i="1"/>
  <c r="I43" i="1" s="1"/>
  <c r="F36" i="1"/>
  <c r="I36" i="1" s="1"/>
  <c r="F33" i="1"/>
  <c r="I33" i="1" s="1"/>
  <c r="F32" i="1"/>
  <c r="I32" i="1" s="1"/>
  <c r="F31" i="1"/>
  <c r="I31" i="1" s="1"/>
  <c r="F27" i="1"/>
  <c r="I27" i="1" s="1"/>
  <c r="F25" i="1"/>
  <c r="I25" i="1" s="1"/>
  <c r="F19" i="1"/>
  <c r="I19" i="1" s="1"/>
  <c r="F18" i="1"/>
  <c r="I18" i="1" s="1"/>
  <c r="F17" i="1"/>
  <c r="I17" i="1" s="1"/>
  <c r="F16" i="1"/>
  <c r="I16" i="1" s="1"/>
  <c r="Y120" i="1" l="1"/>
  <c r="T44" i="1" l="1"/>
  <c r="S39" i="1"/>
  <c r="I47" i="1" l="1"/>
  <c r="G80" i="1" l="1"/>
  <c r="F103" i="1"/>
  <c r="I103" i="1" s="1"/>
  <c r="F101" i="1"/>
  <c r="I101" i="1" s="1"/>
  <c r="F83" i="1"/>
  <c r="I83" i="1" s="1"/>
  <c r="F61" i="1"/>
  <c r="I61" i="1" s="1"/>
  <c r="F49" i="1"/>
  <c r="I49" i="1" s="1"/>
  <c r="F30" i="1"/>
  <c r="I30" i="1" s="1"/>
  <c r="G149" i="1" l="1"/>
  <c r="J149" i="1" s="1"/>
  <c r="Y156" i="1"/>
  <c r="Y36" i="1" l="1"/>
  <c r="W44" i="1"/>
  <c r="Z36" i="1" l="1"/>
  <c r="Z49" i="1"/>
  <c r="Y39" i="1"/>
  <c r="O99" i="1" l="1"/>
  <c r="Y99" i="1" s="1"/>
  <c r="J82" i="1" l="1"/>
  <c r="J80" i="1" s="1"/>
  <c r="I48" i="1"/>
  <c r="J47" i="1"/>
  <c r="J46" i="1"/>
  <c r="J45" i="1"/>
  <c r="J44" i="1"/>
  <c r="J43" i="1"/>
  <c r="I82" i="1" l="1"/>
  <c r="G70" i="1"/>
  <c r="J70" i="1" s="1"/>
  <c r="G63" i="1"/>
  <c r="J63" i="1" s="1"/>
  <c r="F63" i="1"/>
  <c r="I63" i="1" s="1"/>
  <c r="G47" i="1"/>
  <c r="Z148" i="1"/>
  <c r="Y148" i="1"/>
  <c r="Y118" i="1" l="1"/>
  <c r="V118" i="1" l="1"/>
  <c r="V99" i="1"/>
  <c r="Y149" i="1" l="1"/>
  <c r="Z149" i="1" l="1"/>
  <c r="P99" i="1" l="1"/>
  <c r="Z99" i="1" s="1"/>
  <c r="T87" i="1"/>
  <c r="P87" i="1"/>
  <c r="Z87" i="1" s="1"/>
  <c r="S99" i="1" l="1"/>
  <c r="J87" i="1"/>
  <c r="F102" i="1"/>
  <c r="I102" i="1" s="1"/>
  <c r="I80" i="1"/>
  <c r="F80" i="1"/>
  <c r="G71" i="1"/>
  <c r="F41" i="1"/>
  <c r="I41" i="1" s="1"/>
  <c r="F29" i="1"/>
  <c r="I29" i="1" s="1"/>
  <c r="W36" i="1"/>
  <c r="F99" i="1" l="1"/>
  <c r="I99" i="1"/>
  <c r="V39" i="1"/>
  <c r="Z31" i="1" l="1"/>
  <c r="Q106" i="1"/>
  <c r="O39" i="1" l="1"/>
  <c r="Y20" i="1" l="1"/>
  <c r="C127" i="1" l="1"/>
  <c r="C124" i="1" l="1"/>
  <c r="H140" i="1" l="1"/>
  <c r="G46" i="1" l="1"/>
  <c r="G45" i="1"/>
  <c r="G43" i="1"/>
  <c r="N166" i="1" l="1"/>
  <c r="M166" i="1"/>
  <c r="N165" i="1"/>
  <c r="M165" i="1"/>
  <c r="L166" i="1" l="1"/>
  <c r="L165" i="1"/>
  <c r="W46" i="1" l="1"/>
  <c r="W45" i="1"/>
  <c r="W43" i="1"/>
  <c r="C67" i="1"/>
  <c r="C78" i="1" l="1"/>
  <c r="C77" i="1"/>
  <c r="C76" i="1"/>
  <c r="D74" i="1"/>
  <c r="D69" i="1"/>
  <c r="D67" i="1"/>
  <c r="C74" i="1" l="1"/>
  <c r="C70" i="1"/>
  <c r="C69" i="1"/>
  <c r="C71" i="1"/>
  <c r="D95" i="1" l="1"/>
  <c r="D94" i="1"/>
  <c r="D93" i="1"/>
  <c r="D61" i="1"/>
  <c r="D60" i="1"/>
  <c r="D59" i="1"/>
  <c r="C59" i="1" l="1"/>
  <c r="C61" i="1"/>
  <c r="C60" i="1"/>
  <c r="C57" i="1"/>
  <c r="C95" i="1" l="1"/>
  <c r="C93" i="1"/>
  <c r="Y152" i="1" l="1"/>
  <c r="T45" i="1"/>
  <c r="T46" i="1"/>
  <c r="S150" i="1" l="1"/>
  <c r="W87" i="1"/>
  <c r="U106" i="1"/>
  <c r="S118" i="1"/>
  <c r="F150" i="1" l="1"/>
  <c r="F118" i="1"/>
  <c r="G49" i="1"/>
  <c r="J49" i="1" s="1"/>
  <c r="P47" i="1" l="1"/>
  <c r="O48" i="1"/>
  <c r="O49" i="1"/>
  <c r="P49" i="1" s="1"/>
  <c r="Y35" i="1"/>
  <c r="L162" i="1"/>
  <c r="O162" i="1" s="1"/>
  <c r="L161" i="1"/>
  <c r="O161" i="1" s="1"/>
  <c r="L160" i="1"/>
  <c r="O160" i="1" s="1"/>
  <c r="L159" i="1"/>
  <c r="O159" i="1" s="1"/>
  <c r="Y157" i="1"/>
  <c r="Y154" i="1"/>
  <c r="L149" i="1"/>
  <c r="M149" i="1"/>
  <c r="M131" i="1"/>
  <c r="L118" i="1"/>
  <c r="M44" i="1"/>
  <c r="M45" i="1"/>
  <c r="M46" i="1"/>
  <c r="M47" i="1"/>
  <c r="M48" i="1"/>
  <c r="M49" i="1"/>
  <c r="M43" i="1"/>
  <c r="I150" i="1"/>
  <c r="I118" i="1"/>
  <c r="K106" i="1"/>
  <c r="O155" i="1" l="1"/>
  <c r="Y155" i="1" s="1"/>
  <c r="P44" i="1"/>
  <c r="Z44" i="1"/>
  <c r="Z45" i="1"/>
  <c r="P46" i="1"/>
  <c r="Z46" i="1"/>
  <c r="P45" i="1"/>
  <c r="P43" i="1"/>
  <c r="Z43" i="1"/>
  <c r="S162" i="1"/>
  <c r="Y162" i="1"/>
  <c r="Y159" i="1"/>
  <c r="Y158" i="1" s="1"/>
  <c r="S159" i="1"/>
  <c r="Y160" i="1"/>
  <c r="S160" i="1"/>
  <c r="Z47" i="1"/>
  <c r="S161" i="1"/>
  <c r="C150" i="1" l="1"/>
  <c r="C118" i="1"/>
  <c r="D99" i="1"/>
  <c r="C99" i="1"/>
  <c r="D80" i="1"/>
  <c r="C80" i="1"/>
  <c r="D44" i="1"/>
  <c r="D45" i="1"/>
  <c r="D46" i="1"/>
  <c r="D47" i="1"/>
  <c r="D49" i="1"/>
  <c r="D43" i="1"/>
  <c r="AA20" i="1" l="1"/>
  <c r="AA19" i="1"/>
  <c r="X19" i="1"/>
  <c r="X18" i="1"/>
  <c r="U19" i="1"/>
  <c r="Q19" i="1"/>
  <c r="N19" i="1"/>
  <c r="K19" i="1"/>
  <c r="H19" i="1"/>
  <c r="E19" i="1"/>
  <c r="Z164" i="1"/>
  <c r="Y164" i="1"/>
  <c r="W164" i="1"/>
  <c r="V164" i="1"/>
  <c r="T164" i="1"/>
  <c r="S164" i="1"/>
  <c r="P164" i="1"/>
  <c r="O164" i="1"/>
  <c r="M164" i="1"/>
  <c r="L164" i="1"/>
  <c r="J164" i="1"/>
  <c r="I164" i="1"/>
  <c r="G164" i="1"/>
  <c r="F164" i="1"/>
  <c r="D164" i="1"/>
  <c r="C164" i="1"/>
  <c r="Z163" i="1"/>
  <c r="Y163" i="1"/>
  <c r="W163" i="1"/>
  <c r="V163" i="1"/>
  <c r="T163" i="1"/>
  <c r="S163" i="1"/>
  <c r="P163" i="1"/>
  <c r="O163" i="1"/>
  <c r="M163" i="1"/>
  <c r="L163" i="1"/>
  <c r="J163" i="1"/>
  <c r="I163" i="1"/>
  <c r="G163" i="1"/>
  <c r="F163" i="1"/>
  <c r="D163" i="1"/>
  <c r="C163" i="1"/>
  <c r="AB162" i="1"/>
  <c r="R162" i="1"/>
  <c r="AB161" i="1"/>
  <c r="R161" i="1"/>
  <c r="AB160" i="1"/>
  <c r="R160" i="1"/>
  <c r="AB159" i="1"/>
  <c r="R159" i="1"/>
  <c r="S158" i="1"/>
  <c r="O158" i="1"/>
  <c r="L158" i="1"/>
  <c r="C158" i="1"/>
  <c r="AB157" i="1"/>
  <c r="R157" i="1"/>
  <c r="AB156" i="1"/>
  <c r="R156" i="1"/>
  <c r="AB155" i="1"/>
  <c r="R155" i="1"/>
  <c r="AB154" i="1"/>
  <c r="R154" i="1"/>
  <c r="AB153" i="1"/>
  <c r="AB152" i="1"/>
  <c r="AA149" i="1"/>
  <c r="X149" i="1"/>
  <c r="U149" i="1"/>
  <c r="Q149" i="1"/>
  <c r="N149" i="1"/>
  <c r="K149" i="1"/>
  <c r="H149" i="1"/>
  <c r="E149" i="1"/>
  <c r="AA148" i="1"/>
  <c r="X148" i="1"/>
  <c r="U148" i="1"/>
  <c r="Q148" i="1"/>
  <c r="N148" i="1"/>
  <c r="K148" i="1"/>
  <c r="H148" i="1"/>
  <c r="E148" i="1"/>
  <c r="Z144" i="1"/>
  <c r="Y144" i="1"/>
  <c r="W144" i="1"/>
  <c r="V144" i="1"/>
  <c r="T144" i="1"/>
  <c r="S144" i="1"/>
  <c r="P144" i="1"/>
  <c r="O144" i="1"/>
  <c r="M144" i="1"/>
  <c r="L144" i="1"/>
  <c r="J144" i="1"/>
  <c r="I144" i="1"/>
  <c r="G144" i="1"/>
  <c r="F144" i="1"/>
  <c r="D144" i="1"/>
  <c r="C144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AA132" i="1"/>
  <c r="X132" i="1"/>
  <c r="U132" i="1"/>
  <c r="Q132" i="1"/>
  <c r="N132" i="1"/>
  <c r="K132" i="1"/>
  <c r="H132" i="1"/>
  <c r="E132" i="1"/>
  <c r="AA131" i="1"/>
  <c r="X131" i="1"/>
  <c r="U131" i="1"/>
  <c r="Q131" i="1"/>
  <c r="N131" i="1"/>
  <c r="K131" i="1"/>
  <c r="H131" i="1"/>
  <c r="E131" i="1"/>
  <c r="AA130" i="1"/>
  <c r="X130" i="1"/>
  <c r="U130" i="1"/>
  <c r="Q130" i="1"/>
  <c r="N130" i="1"/>
  <c r="K130" i="1"/>
  <c r="H130" i="1"/>
  <c r="E130" i="1"/>
  <c r="Z129" i="1"/>
  <c r="Y129" i="1"/>
  <c r="W129" i="1"/>
  <c r="V129" i="1"/>
  <c r="T129" i="1"/>
  <c r="S129" i="1"/>
  <c r="P129" i="1"/>
  <c r="O129" i="1"/>
  <c r="M129" i="1"/>
  <c r="L129" i="1"/>
  <c r="J129" i="1"/>
  <c r="I129" i="1"/>
  <c r="G129" i="1"/>
  <c r="F129" i="1"/>
  <c r="D129" i="1"/>
  <c r="C129" i="1"/>
  <c r="AB128" i="1"/>
  <c r="S123" i="1"/>
  <c r="I123" i="1"/>
  <c r="F123" i="1"/>
  <c r="C123" i="1"/>
  <c r="Y115" i="1"/>
  <c r="V115" i="1"/>
  <c r="S115" i="1"/>
  <c r="O115" i="1"/>
  <c r="L115" i="1"/>
  <c r="I115" i="1"/>
  <c r="F115" i="1"/>
  <c r="C115" i="1"/>
  <c r="Y110" i="1"/>
  <c r="V110" i="1"/>
  <c r="V151" i="1" s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O86" i="1"/>
  <c r="M86" i="1"/>
  <c r="L86" i="1"/>
  <c r="J86" i="1"/>
  <c r="I86" i="1"/>
  <c r="G86" i="1"/>
  <c r="F86" i="1"/>
  <c r="D86" i="1"/>
  <c r="C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C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AA164" i="1" s="1"/>
  <c r="X59" i="1"/>
  <c r="U59" i="1"/>
  <c r="Q59" i="1"/>
  <c r="N59" i="1"/>
  <c r="N164" i="1" s="1"/>
  <c r="K59" i="1"/>
  <c r="H59" i="1"/>
  <c r="H164" i="1" s="1"/>
  <c r="E59" i="1"/>
  <c r="E164" i="1" s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N163" i="1" s="1"/>
  <c r="K55" i="1"/>
  <c r="H55" i="1"/>
  <c r="H163" i="1" s="1"/>
  <c r="E55" i="1"/>
  <c r="E163" i="1" s="1"/>
  <c r="AA53" i="1"/>
  <c r="X53" i="1"/>
  <c r="U53" i="1"/>
  <c r="Q53" i="1"/>
  <c r="N53" i="1"/>
  <c r="K53" i="1"/>
  <c r="H53" i="1"/>
  <c r="E53" i="1"/>
  <c r="Z52" i="1"/>
  <c r="Z51" i="1" s="1"/>
  <c r="Z104" i="1" s="1"/>
  <c r="Y52" i="1"/>
  <c r="W52" i="1"/>
  <c r="W51" i="1" s="1"/>
  <c r="W104" i="1" s="1"/>
  <c r="V52" i="1"/>
  <c r="T52" i="1"/>
  <c r="S52" i="1"/>
  <c r="P52" i="1"/>
  <c r="P51" i="1" s="1"/>
  <c r="P104" i="1" s="1"/>
  <c r="O52" i="1"/>
  <c r="O51" i="1" s="1"/>
  <c r="O104" i="1" s="1"/>
  <c r="M52" i="1"/>
  <c r="M51" i="1" s="1"/>
  <c r="M104" i="1" s="1"/>
  <c r="L52" i="1"/>
  <c r="J52" i="1"/>
  <c r="I52" i="1"/>
  <c r="G52" i="1"/>
  <c r="G51" i="1" s="1"/>
  <c r="G104" i="1" s="1"/>
  <c r="F52" i="1"/>
  <c r="F51" i="1" s="1"/>
  <c r="F104" i="1" s="1"/>
  <c r="D52" i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AA39" i="1"/>
  <c r="X39" i="1"/>
  <c r="U39" i="1"/>
  <c r="Q39" i="1"/>
  <c r="L39" i="1"/>
  <c r="N39" i="1" s="1"/>
  <c r="I39" i="1"/>
  <c r="K39" i="1" s="1"/>
  <c r="F39" i="1"/>
  <c r="H39" i="1" s="1"/>
  <c r="C39" i="1"/>
  <c r="E39" i="1" s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W7" i="1" s="1"/>
  <c r="V21" i="1"/>
  <c r="T21" i="1"/>
  <c r="T7" i="1" s="1"/>
  <c r="S21" i="1"/>
  <c r="P21" i="1"/>
  <c r="P7" i="1" s="1"/>
  <c r="O21" i="1"/>
  <c r="M21" i="1"/>
  <c r="M7" i="1" s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B20" i="1" s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X14" i="1"/>
  <c r="U14" i="1"/>
  <c r="AA14" i="1" s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W12" i="1"/>
  <c r="V12" i="1"/>
  <c r="V8" i="1" s="1"/>
  <c r="T12" i="1"/>
  <c r="S12" i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V150" i="1" l="1"/>
  <c r="Y151" i="1"/>
  <c r="R41" i="1"/>
  <c r="X164" i="1"/>
  <c r="X163" i="1"/>
  <c r="Q164" i="1"/>
  <c r="R164" i="1" s="1"/>
  <c r="Y12" i="1"/>
  <c r="Y8" i="1" s="1"/>
  <c r="AA8" i="1" s="1"/>
  <c r="S51" i="1"/>
  <c r="S104" i="1" s="1"/>
  <c r="S145" i="1" s="1"/>
  <c r="R45" i="1"/>
  <c r="H144" i="1"/>
  <c r="K164" i="1"/>
  <c r="K163" i="1"/>
  <c r="AB42" i="1"/>
  <c r="AB47" i="1"/>
  <c r="AB44" i="1"/>
  <c r="AB46" i="1"/>
  <c r="AB43" i="1"/>
  <c r="AB48" i="1"/>
  <c r="V51" i="1"/>
  <c r="V104" i="1" s="1"/>
  <c r="X104" i="1" s="1"/>
  <c r="U163" i="1"/>
  <c r="T51" i="1"/>
  <c r="T104" i="1" s="1"/>
  <c r="T145" i="1" s="1"/>
  <c r="S8" i="1"/>
  <c r="U8" i="1" s="1"/>
  <c r="T6" i="1"/>
  <c r="T50" i="1" s="1"/>
  <c r="G145" i="1"/>
  <c r="AB64" i="1"/>
  <c r="AB67" i="1"/>
  <c r="AB70" i="1"/>
  <c r="AB72" i="1"/>
  <c r="AB76" i="1"/>
  <c r="AB77" i="1"/>
  <c r="AB78" i="1"/>
  <c r="AB89" i="1"/>
  <c r="AB98" i="1"/>
  <c r="AB102" i="1"/>
  <c r="AB103" i="1"/>
  <c r="E12" i="1"/>
  <c r="K12" i="1"/>
  <c r="Q12" i="1"/>
  <c r="X12" i="1"/>
  <c r="H21" i="1"/>
  <c r="N21" i="1"/>
  <c r="U21" i="1"/>
  <c r="W145" i="1"/>
  <c r="X129" i="1"/>
  <c r="AA21" i="1"/>
  <c r="AB49" i="1"/>
  <c r="V38" i="1"/>
  <c r="V37" i="1" s="1"/>
  <c r="X37" i="1" s="1"/>
  <c r="W6" i="1"/>
  <c r="W50" i="1" s="1"/>
  <c r="W105" i="1" s="1"/>
  <c r="V124" i="1" s="1"/>
  <c r="AB74" i="1"/>
  <c r="AB73" i="1"/>
  <c r="AB69" i="1"/>
  <c r="AB71" i="1"/>
  <c r="U164" i="1"/>
  <c r="AB61" i="1"/>
  <c r="AB60" i="1"/>
  <c r="AB95" i="1"/>
  <c r="AB94" i="1"/>
  <c r="AB23" i="1"/>
  <c r="AB24" i="1"/>
  <c r="AB26" i="1"/>
  <c r="AB29" i="1"/>
  <c r="AB30" i="1"/>
  <c r="AB31" i="1"/>
  <c r="AB32" i="1"/>
  <c r="AB33" i="1"/>
  <c r="AB35" i="1"/>
  <c r="R49" i="1"/>
  <c r="L51" i="1"/>
  <c r="L104" i="1" s="1"/>
  <c r="L145" i="1" s="1"/>
  <c r="R141" i="1"/>
  <c r="AB18" i="1"/>
  <c r="M6" i="1"/>
  <c r="M50" i="1" s="1"/>
  <c r="M105" i="1" s="1"/>
  <c r="AA163" i="1"/>
  <c r="AB163" i="1" s="1"/>
  <c r="Q163" i="1"/>
  <c r="R163" i="1" s="1"/>
  <c r="P145" i="1"/>
  <c r="Q129" i="1"/>
  <c r="P6" i="1"/>
  <c r="P50" i="1" s="1"/>
  <c r="P105" i="1" s="1"/>
  <c r="Y51" i="1"/>
  <c r="Y104" i="1" s="1"/>
  <c r="AA104" i="1" s="1"/>
  <c r="U144" i="1"/>
  <c r="Q144" i="1"/>
  <c r="F38" i="1"/>
  <c r="H38" i="1" s="1"/>
  <c r="AB138" i="1"/>
  <c r="AB139" i="1"/>
  <c r="AB140" i="1"/>
  <c r="AB141" i="1"/>
  <c r="Z145" i="1"/>
  <c r="Z6" i="1"/>
  <c r="Z50" i="1" s="1"/>
  <c r="Z105" i="1" s="1"/>
  <c r="O38" i="1"/>
  <c r="Q38" i="1" s="1"/>
  <c r="AB40" i="1"/>
  <c r="M145" i="1"/>
  <c r="G6" i="1"/>
  <c r="G50" i="1" s="1"/>
  <c r="G105" i="1" s="1"/>
  <c r="R138" i="1"/>
  <c r="AB142" i="1"/>
  <c r="AB143" i="1"/>
  <c r="H12" i="1"/>
  <c r="N12" i="1"/>
  <c r="U12" i="1"/>
  <c r="K21" i="1"/>
  <c r="Q21" i="1"/>
  <c r="X21" i="1"/>
  <c r="R24" i="1"/>
  <c r="R26" i="1"/>
  <c r="I38" i="1"/>
  <c r="I37" i="1" s="1"/>
  <c r="K37" i="1" s="1"/>
  <c r="D51" i="1"/>
  <c r="D104" i="1" s="1"/>
  <c r="E104" i="1" s="1"/>
  <c r="H129" i="1"/>
  <c r="N129" i="1"/>
  <c r="U129" i="1"/>
  <c r="AA129" i="1"/>
  <c r="X144" i="1"/>
  <c r="O8" i="1"/>
  <c r="AB13" i="1"/>
  <c r="AB15" i="1"/>
  <c r="AB16" i="1"/>
  <c r="J6" i="1"/>
  <c r="J50" i="1" s="1"/>
  <c r="N144" i="1"/>
  <c r="AA144" i="1"/>
  <c r="AB131" i="1"/>
  <c r="AB132" i="1"/>
  <c r="AB133" i="1"/>
  <c r="AB136" i="1"/>
  <c r="AB137" i="1"/>
  <c r="L38" i="1"/>
  <c r="K144" i="1"/>
  <c r="K129" i="1"/>
  <c r="I51" i="1"/>
  <c r="I104" i="1" s="1"/>
  <c r="I145" i="1" s="1"/>
  <c r="J51" i="1"/>
  <c r="J104" i="1" s="1"/>
  <c r="J145" i="1" s="1"/>
  <c r="I8" i="1"/>
  <c r="K8" i="1" s="1"/>
  <c r="R140" i="1"/>
  <c r="R139" i="1"/>
  <c r="R137" i="1"/>
  <c r="R136" i="1"/>
  <c r="AB135" i="1"/>
  <c r="R135" i="1"/>
  <c r="AB134" i="1"/>
  <c r="R134" i="1"/>
  <c r="R133" i="1"/>
  <c r="R132" i="1"/>
  <c r="E144" i="1"/>
  <c r="R131" i="1"/>
  <c r="E129" i="1"/>
  <c r="AB99" i="1"/>
  <c r="AB101" i="1"/>
  <c r="AB97" i="1"/>
  <c r="AB96" i="1"/>
  <c r="AB90" i="1"/>
  <c r="AB87" i="1"/>
  <c r="AB85" i="1"/>
  <c r="AB84" i="1"/>
  <c r="AB83" i="1"/>
  <c r="AB82" i="1"/>
  <c r="AB80" i="1"/>
  <c r="AB79" i="1"/>
  <c r="AB65" i="1"/>
  <c r="AB63" i="1"/>
  <c r="AB62" i="1"/>
  <c r="AB57" i="1"/>
  <c r="AB56" i="1"/>
  <c r="AB53" i="1"/>
  <c r="R47" i="1"/>
  <c r="AB45" i="1"/>
  <c r="R40" i="1"/>
  <c r="C38" i="1"/>
  <c r="E38" i="1" s="1"/>
  <c r="D6" i="1"/>
  <c r="D50" i="1" s="1"/>
  <c r="R44" i="1"/>
  <c r="R46" i="1"/>
  <c r="R48" i="1"/>
  <c r="R43" i="1"/>
  <c r="R42" i="1"/>
  <c r="AB41" i="1"/>
  <c r="C37" i="1"/>
  <c r="E37" i="1" s="1"/>
  <c r="AB36" i="1"/>
  <c r="R36" i="1"/>
  <c r="R35" i="1"/>
  <c r="R33" i="1"/>
  <c r="R32" i="1"/>
  <c r="E21" i="1"/>
  <c r="R31" i="1"/>
  <c r="R30" i="1"/>
  <c r="R29" i="1"/>
  <c r="R20" i="1"/>
  <c r="AB19" i="1"/>
  <c r="R18" i="1"/>
  <c r="R17" i="1"/>
  <c r="AB17" i="1"/>
  <c r="R16" i="1"/>
  <c r="R15" i="1"/>
  <c r="R14" i="1"/>
  <c r="C8" i="1"/>
  <c r="E8" i="1" s="1"/>
  <c r="AB14" i="1"/>
  <c r="R13" i="1"/>
  <c r="AB10" i="1"/>
  <c r="R10" i="1"/>
  <c r="R23" i="1"/>
  <c r="R39" i="1"/>
  <c r="F8" i="1"/>
  <c r="L8" i="1"/>
  <c r="E52" i="1"/>
  <c r="AB39" i="1"/>
  <c r="R148" i="1"/>
  <c r="R149" i="1"/>
  <c r="R158" i="1"/>
  <c r="AB158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0" i="1"/>
  <c r="AB130" i="1"/>
  <c r="AB148" i="1"/>
  <c r="AB149" i="1"/>
  <c r="R19" i="1"/>
  <c r="C145" i="1"/>
  <c r="O145" i="1"/>
  <c r="Q104" i="1"/>
  <c r="Q51" i="1"/>
  <c r="S38" i="1"/>
  <c r="Y38" i="1"/>
  <c r="H104" i="1"/>
  <c r="F145" i="1"/>
  <c r="H51" i="1"/>
  <c r="N51" i="1"/>
  <c r="R55" i="1"/>
  <c r="AB55" i="1"/>
  <c r="R59" i="1"/>
  <c r="AB59" i="1"/>
  <c r="R94" i="1"/>
  <c r="R95" i="1"/>
  <c r="AB164" i="1"/>
  <c r="AB91" i="1"/>
  <c r="R142" i="1"/>
  <c r="R143" i="1"/>
  <c r="D145" i="1" l="1"/>
  <c r="Y150" i="1"/>
  <c r="AB150" i="1" s="1"/>
  <c r="AB151" i="1"/>
  <c r="U51" i="1"/>
  <c r="Y7" i="1"/>
  <c r="AA7" i="1" s="1"/>
  <c r="AA12" i="1"/>
  <c r="AB12" i="1" s="1"/>
  <c r="V145" i="1"/>
  <c r="R38" i="1"/>
  <c r="R12" i="1"/>
  <c r="T105" i="1"/>
  <c r="U104" i="1"/>
  <c r="U145" i="1" s="1"/>
  <c r="AB21" i="1"/>
  <c r="H145" i="1"/>
  <c r="X51" i="1"/>
  <c r="N104" i="1"/>
  <c r="N145" i="1" s="1"/>
  <c r="S7" i="1"/>
  <c r="U7" i="1" s="1"/>
  <c r="O37" i="1"/>
  <c r="Q37" i="1" s="1"/>
  <c r="R37" i="1" s="1"/>
  <c r="E145" i="1"/>
  <c r="X145" i="1"/>
  <c r="X38" i="1"/>
  <c r="R66" i="1"/>
  <c r="AB66" i="1"/>
  <c r="Y145" i="1"/>
  <c r="E51" i="1"/>
  <c r="R51" i="1" s="1"/>
  <c r="H106" i="1"/>
  <c r="K104" i="1"/>
  <c r="K145" i="1" s="1"/>
  <c r="F37" i="1"/>
  <c r="H37" i="1" s="1"/>
  <c r="R21" i="1"/>
  <c r="D105" i="1"/>
  <c r="AA51" i="1"/>
  <c r="R52" i="1"/>
  <c r="R144" i="1"/>
  <c r="AB129" i="1"/>
  <c r="J105" i="1"/>
  <c r="K38" i="1"/>
  <c r="Q8" i="1"/>
  <c r="R8" i="1" s="1"/>
  <c r="O7" i="1"/>
  <c r="R129" i="1"/>
  <c r="K51" i="1"/>
  <c r="R86" i="1"/>
  <c r="I7" i="1"/>
  <c r="K7" i="1" s="1"/>
  <c r="N38" i="1"/>
  <c r="L37" i="1"/>
  <c r="N37" i="1" s="1"/>
  <c r="AB144" i="1"/>
  <c r="AB86" i="1"/>
  <c r="AB52" i="1"/>
  <c r="C7" i="1"/>
  <c r="E7" i="1" s="1"/>
  <c r="AB8" i="1"/>
  <c r="X8" i="1"/>
  <c r="V7" i="1"/>
  <c r="H8" i="1"/>
  <c r="F7" i="1"/>
  <c r="N8" i="1"/>
  <c r="L7" i="1"/>
  <c r="AA38" i="1"/>
  <c r="AB38" i="1" s="1"/>
  <c r="Y37" i="1"/>
  <c r="AB104" i="1"/>
  <c r="AA145" i="1"/>
  <c r="Q145" i="1"/>
  <c r="R104" i="1"/>
  <c r="U38" i="1"/>
  <c r="S37" i="1"/>
  <c r="AB51" i="1" l="1"/>
  <c r="I6" i="1"/>
  <c r="I50" i="1" s="1"/>
  <c r="Q7" i="1"/>
  <c r="R7" i="1" s="1"/>
  <c r="O6" i="1"/>
  <c r="AB7" i="1"/>
  <c r="C6" i="1"/>
  <c r="H7" i="1"/>
  <c r="F6" i="1"/>
  <c r="X7" i="1"/>
  <c r="V6" i="1"/>
  <c r="N7" i="1"/>
  <c r="L6" i="1"/>
  <c r="AA37" i="1"/>
  <c r="AB37" i="1" s="1"/>
  <c r="Y6" i="1"/>
  <c r="U37" i="1"/>
  <c r="S6" i="1"/>
  <c r="K6" i="1" l="1"/>
  <c r="K50" i="1" s="1"/>
  <c r="O50" i="1"/>
  <c r="Q6" i="1"/>
  <c r="Q50" i="1" s="1"/>
  <c r="Q105" i="1" s="1"/>
  <c r="I105" i="1"/>
  <c r="K105" i="1" s="1"/>
  <c r="I109" i="1"/>
  <c r="I107" i="1" s="1"/>
  <c r="C50" i="1"/>
  <c r="E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O105" i="1" l="1"/>
  <c r="O109" i="1"/>
  <c r="O107" i="1" s="1"/>
  <c r="E50" i="1"/>
  <c r="R6" i="1"/>
  <c r="C105" i="1"/>
  <c r="C109" i="1"/>
  <c r="C107" i="1" s="1"/>
  <c r="V105" i="1"/>
  <c r="X105" i="1" s="1"/>
  <c r="V125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V123" i="1" l="1"/>
  <c r="Y123" i="1"/>
  <c r="E105" i="1"/>
  <c r="R50" i="1"/>
</calcChain>
</file>

<file path=xl/sharedStrings.xml><?xml version="1.0" encoding="utf-8"?>
<sst xmlns="http://schemas.openxmlformats.org/spreadsheetml/2006/main" count="875" uniqueCount="226">
  <si>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</si>
  <si>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</si>
  <si>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</si>
  <si>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</si>
  <si>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</si>
  <si>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</si>
  <si>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</si>
  <si>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</si>
  <si>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</si>
  <si>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</si>
  <si>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</si>
  <si>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</si>
  <si>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</si>
  <si>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</si>
  <si>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</si>
  <si>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</si>
  <si>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</si>
  <si>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</si>
  <si>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</si>
  <si>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</si>
  <si>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</si>
  <si>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</si>
  <si>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</si>
  <si>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</si>
  <si>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</si>
  <si>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</si>
  <si>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</si>
  <si>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</si>
  <si>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</si>
  <si>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</si>
  <si>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</si>
  <si>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</si>
  <si>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</si>
  <si>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</si>
  <si>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</si>
  <si>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</si>
  <si>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</si>
  <si>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</si>
  <si>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</si>
  <si>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</si>
  <si>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</si>
  <si>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</si>
  <si>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</si>
  <si>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</si>
  <si>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</si>
  <si>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</si>
  <si>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</si>
  <si>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</si>
  <si>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</si>
  <si>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</si>
  <si>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</si>
  <si>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</si>
  <si>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</si>
  <si>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</si>
  <si>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</si>
  <si>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</si>
  <si>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</si>
  <si>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</si>
  <si>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</si>
  <si>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</si>
  <si>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</si>
  <si>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</si>
  <si>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</si>
  <si>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</si>
  <si>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</si>
  <si>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</si>
  <si>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</si>
  <si>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</si>
  <si>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</si>
  <si>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</si>
  <si>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</si>
  <si>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</si>
  <si>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</si>
  <si>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</si>
  <si>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</si>
  <si>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</si>
  <si>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</si>
  <si>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</si>
  <si>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</si>
  <si>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</si>
  <si>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</si>
  <si>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</si>
  <si>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</si>
  <si>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</si>
  <si>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</si>
  <si>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</si>
  <si>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</si>
  <si>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</si>
  <si>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</si>
  <si>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</si>
  <si>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</si>
  <si>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</si>
  <si>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</si>
  <si>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</si>
  <si>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</si>
  <si>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</si>
  <si>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</si>
  <si>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</si>
  <si>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</si>
  <si>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</si>
  <si>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</si>
  <si>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</si>
  <si>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</si>
  <si>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</si>
  <si>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</si>
  <si>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</si>
  <si>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</si>
  <si>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</si>
  <si>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</si>
  <si>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</si>
  <si>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</si>
  <si>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</si>
  <si>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</si>
  <si>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</si>
  <si>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</si>
  <si>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</si>
  <si>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</si>
  <si>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</si>
  <si>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</si>
  <si>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</si>
  <si>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</si>
  <si>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</si>
  <si>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</si>
  <si>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</si>
  <si>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</si>
  <si>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</si>
  <si>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</si>
  <si>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</si>
  <si>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</si>
  <si>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</si>
  <si>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</si>
  <si>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</si>
  <si>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</si>
  <si>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</si>
  <si>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</si>
  <si>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</si>
  <si>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</si>
  <si>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</si>
  <si>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</si>
  <si>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</si>
  <si>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</si>
  <si>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</si>
  <si>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</si>
  <si>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</si>
  <si>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</si>
  <si>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</si>
  <si>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</si>
  <si>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</si>
  <si>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</si>
  <si>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</si>
  <si>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</si>
  <si>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</si>
  <si>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</si>
  <si>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</si>
  <si>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</si>
  <si>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</si>
  <si>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</si>
  <si>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</si>
  <si>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</si>
  <si>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</si>
  <si>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</si>
  <si>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</si>
  <si>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</si>
  <si>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</si>
  <si>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</si>
  <si>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</si>
  <si>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</si>
  <si>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</si>
  <si>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</si>
  <si>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</si>
  <si>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</si>
  <si>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</si>
  <si>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</si>
  <si>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</si>
  <si>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</si>
  <si>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</si>
  <si>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</si>
  <si>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</si>
  <si>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</si>
  <si>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</si>
  <si>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</si>
  <si>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</si>
  <si>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</si>
  <si>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</si>
  <si>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</si>
  <si>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</si>
  <si>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</si>
  <si>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</si>
  <si>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</si>
  <si>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</si>
  <si>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</si>
  <si>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</si>
  <si>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</si>
  <si>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Штатные единицы в казенных учреждениях, ед. (факт за отчетный год, план на текущий год)</t>
  </si>
  <si>
    <t>Штатные единицы в органах местного самоуправления, ед. (факт за отчетный год, план на текущий год)</t>
  </si>
  <si>
    <t>Штатные единицы в бюджетных учреждениях (факт за отчетный год, план на текущий год)</t>
  </si>
  <si>
    <t>Штатные единицы в автономных учреждениях (факт за отчетный год, план на текущий год)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</si>
  <si>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</si>
  <si>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</si>
  <si>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</si>
  <si>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</si>
  <si>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</si>
  <si>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</si>
  <si>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</si>
  <si>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</si>
  <si>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</si>
  <si>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</si>
  <si>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</si>
  <si>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</si>
  <si>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</si>
  <si>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</si>
  <si>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</si>
  <si>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</si>
  <si>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2021 год (отчетный год)</t>
  </si>
  <si>
    <t>2022 год</t>
  </si>
  <si>
    <t>Ожидаемая оценка исполнения за 2022 год</t>
  </si>
  <si>
    <t>Темп роста к исполнению  2021 г. без ЦС</t>
  </si>
  <si>
    <t>Темп роста к  исполнению 2021г. без ЦС</t>
  </si>
  <si>
    <t>Исполнитель зам.начальника финансового управления - начальник бюджетного отдела   __________ Пикина Н.А.</t>
  </si>
  <si>
    <t xml:space="preserve">                                                    (должность)                                                     (ФИО)                                                50270</t>
  </si>
  <si>
    <t>Паспорт муниципального образования Печенгский муниципальный округ  по исполнению бюджета на "01" октября 2022 года</t>
  </si>
  <si>
    <t>Исполнено на 01.10.2021 (n)</t>
  </si>
  <si>
    <t>Исполнено за октябрь (месяц n+1)</t>
  </si>
  <si>
    <t>Исполнено на 01.10.2022 (n)</t>
  </si>
  <si>
    <t xml:space="preserve">Ожидаемое исполнение за октябрь </t>
  </si>
  <si>
    <t xml:space="preserve">"10  октября 2022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</si>
</sst>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6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3" fillId="2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NumberFormat="1" applyFont="1" applyFill="1" applyBorder="1" applyAlignment="1" applyProtection="1">
      <alignment horizontal="center"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wrapText="1"/>
      <protection locked="0"/>
    </xf>
    <xf numFmtId="0" fontId="18" fillId="7" borderId="3" xfId="0" applyNumberFormat="1" applyFont="1" applyFill="1" applyBorder="1" applyAlignment="1" applyProtection="1">
      <alignment horizont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1"/>
  <sheetViews>
    <sheetView tabSelected="1" view="pageBreakPreview" zoomScaleNormal="100" zoomScaleSheetLayoutView="100" workbookViewId="0">
      <pane xSplit="2" ySplit="6" topLeftCell="M147" activePane="bottomRight" state="frozen"/>
      <selection pane="topRight" activeCell="C1" sqref="C1"/>
      <selection pane="bottomLeft" activeCell="A7" sqref="A7"/>
      <selection pane="bottomRight" activeCell="O157" sqref="O157"/>
    </sheetView>
  </sheetViews>
  <sheetFormatPr defaultRowHeight="15" x14ac:dyDescent="0.25"/>
  <cols>
    <col min="1" max="1" width="4" customWidth="1"/>
    <col min="2" max="2" width="39.28515625" customWidth="1"/>
    <col min="3" max="17" width="12.42578125" customWidth="1"/>
    <col min="19" max="27" width="11" customWidth="1"/>
  </cols>
  <sheetData>
    <row r="1" spans="1:28" ht="18.75" x14ac:dyDescent="0.25">
      <c r="A1" s="1"/>
      <c r="B1" s="2"/>
      <c r="C1" s="184" t="s">
        <v>220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3"/>
      <c r="Z1" s="4" t="s">
        <v>0</v>
      </c>
      <c r="AA1" s="3"/>
      <c r="AB1" s="5"/>
    </row>
    <row r="2" spans="1:28" x14ac:dyDescent="0.25">
      <c r="A2" s="185" t="s">
        <v>1</v>
      </c>
      <c r="B2" s="188" t="s">
        <v>2</v>
      </c>
      <c r="C2" s="189" t="s">
        <v>213</v>
      </c>
      <c r="D2" s="190"/>
      <c r="E2" s="190"/>
      <c r="F2" s="190"/>
      <c r="G2" s="190"/>
      <c r="H2" s="190"/>
      <c r="I2" s="190"/>
      <c r="J2" s="190"/>
      <c r="K2" s="191"/>
      <c r="L2" s="189" t="s">
        <v>214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1"/>
    </row>
    <row r="3" spans="1:28" ht="24" customHeight="1" x14ac:dyDescent="0.25">
      <c r="A3" s="186"/>
      <c r="B3" s="188"/>
      <c r="C3" s="169" t="s">
        <v>3</v>
      </c>
      <c r="D3" s="169"/>
      <c r="E3" s="169"/>
      <c r="F3" s="192" t="s">
        <v>221</v>
      </c>
      <c r="G3" s="192"/>
      <c r="H3" s="192"/>
      <c r="I3" s="193" t="s">
        <v>222</v>
      </c>
      <c r="J3" s="194"/>
      <c r="K3" s="195"/>
      <c r="L3" s="171" t="s">
        <v>4</v>
      </c>
      <c r="M3" s="171"/>
      <c r="N3" s="171"/>
      <c r="O3" s="171" t="s">
        <v>5</v>
      </c>
      <c r="P3" s="171"/>
      <c r="Q3" s="171"/>
      <c r="R3" s="174" t="s">
        <v>217</v>
      </c>
      <c r="S3" s="176" t="s">
        <v>223</v>
      </c>
      <c r="T3" s="177"/>
      <c r="U3" s="178"/>
      <c r="V3" s="176" t="s">
        <v>224</v>
      </c>
      <c r="W3" s="177"/>
      <c r="X3" s="178"/>
      <c r="Y3" s="179" t="s">
        <v>215</v>
      </c>
      <c r="Z3" s="180"/>
      <c r="AA3" s="181"/>
      <c r="AB3" s="174" t="s">
        <v>216</v>
      </c>
    </row>
    <row r="4" spans="1:28" x14ac:dyDescent="0.25">
      <c r="A4" s="186"/>
      <c r="B4" s="188"/>
      <c r="C4" s="169" t="s">
        <v>6</v>
      </c>
      <c r="D4" s="169" t="s">
        <v>7</v>
      </c>
      <c r="E4" s="169"/>
      <c r="F4" s="169" t="s">
        <v>6</v>
      </c>
      <c r="G4" s="169" t="s">
        <v>8</v>
      </c>
      <c r="H4" s="169"/>
      <c r="I4" s="169" t="s">
        <v>6</v>
      </c>
      <c r="J4" s="169" t="s">
        <v>8</v>
      </c>
      <c r="K4" s="169"/>
      <c r="L4" s="170" t="s">
        <v>6</v>
      </c>
      <c r="M4" s="171" t="s">
        <v>7</v>
      </c>
      <c r="N4" s="171"/>
      <c r="O4" s="170" t="s">
        <v>6</v>
      </c>
      <c r="P4" s="171" t="s">
        <v>7</v>
      </c>
      <c r="Q4" s="171"/>
      <c r="R4" s="175"/>
      <c r="S4" s="172" t="s">
        <v>6</v>
      </c>
      <c r="T4" s="182" t="s">
        <v>8</v>
      </c>
      <c r="U4" s="183"/>
      <c r="V4" s="172" t="s">
        <v>6</v>
      </c>
      <c r="W4" s="182" t="s">
        <v>8</v>
      </c>
      <c r="X4" s="183"/>
      <c r="Y4" s="172" t="s">
        <v>6</v>
      </c>
      <c r="Z4" s="182" t="s">
        <v>8</v>
      </c>
      <c r="AA4" s="183"/>
      <c r="AB4" s="174"/>
    </row>
    <row r="5" spans="1:28" ht="38.25" x14ac:dyDescent="0.25">
      <c r="A5" s="187"/>
      <c r="B5" s="188"/>
      <c r="C5" s="169"/>
      <c r="D5" s="6" t="s">
        <v>211</v>
      </c>
      <c r="E5" s="7" t="s">
        <v>9</v>
      </c>
      <c r="F5" s="169"/>
      <c r="G5" s="6" t="s">
        <v>211</v>
      </c>
      <c r="H5" s="8" t="s">
        <v>9</v>
      </c>
      <c r="I5" s="169"/>
      <c r="J5" s="6" t="s">
        <v>211</v>
      </c>
      <c r="K5" s="8" t="s">
        <v>9</v>
      </c>
      <c r="L5" s="170"/>
      <c r="M5" s="9" t="s">
        <v>211</v>
      </c>
      <c r="N5" s="10" t="s">
        <v>9</v>
      </c>
      <c r="O5" s="170"/>
      <c r="P5" s="9" t="s">
        <v>211</v>
      </c>
      <c r="Q5" s="10" t="s">
        <v>9</v>
      </c>
      <c r="R5" s="175"/>
      <c r="S5" s="173"/>
      <c r="T5" s="9" t="s">
        <v>211</v>
      </c>
      <c r="U5" s="10" t="s">
        <v>10</v>
      </c>
      <c r="V5" s="173"/>
      <c r="W5" s="9" t="s">
        <v>211</v>
      </c>
      <c r="X5" s="10" t="s">
        <v>10</v>
      </c>
      <c r="Y5" s="173"/>
      <c r="Z5" s="9" t="s">
        <v>211</v>
      </c>
      <c r="AA5" s="10" t="s">
        <v>10</v>
      </c>
      <c r="AB5" s="174"/>
    </row>
    <row r="6" spans="1:28" x14ac:dyDescent="0.25">
      <c r="A6" s="11" t="s">
        <v>11</v>
      </c>
      <c r="B6" s="12" t="s">
        <v>12</v>
      </c>
      <c r="C6" s="13">
        <f>C7+C37</f>
        <v>2654747.9537499999</v>
      </c>
      <c r="D6" s="13">
        <f>D7+D37</f>
        <v>1533077.9284899996</v>
      </c>
      <c r="E6" s="13">
        <f>C6-D6</f>
        <v>1121670.0252600003</v>
      </c>
      <c r="F6" s="13">
        <f>F7+F37</f>
        <v>1586910.87494</v>
      </c>
      <c r="G6" s="13">
        <f>G7+G37</f>
        <v>875464.2763100001</v>
      </c>
      <c r="H6" s="13">
        <f>F6-G6</f>
        <v>711446.59862999991</v>
      </c>
      <c r="I6" s="13">
        <f>I7+I37</f>
        <v>305933.17535999999</v>
      </c>
      <c r="J6" s="13">
        <f>J7+J37</f>
        <v>162717.15534999999</v>
      </c>
      <c r="K6" s="13">
        <f>I6-J6</f>
        <v>143216.02001000001</v>
      </c>
      <c r="L6" s="13">
        <f>L7+L37</f>
        <v>3067542.8476100001</v>
      </c>
      <c r="M6" s="13">
        <f>M7+M37</f>
        <v>1871812.6376099999</v>
      </c>
      <c r="N6" s="13">
        <f>L6-M6</f>
        <v>1195730.2100000002</v>
      </c>
      <c r="O6" s="13">
        <f>O7+O37</f>
        <v>3385603.0507799997</v>
      </c>
      <c r="P6" s="13">
        <f>P7+P37</f>
        <v>2072875.01388</v>
      </c>
      <c r="Q6" s="13">
        <f>O6-P6</f>
        <v>1312728.0368999997</v>
      </c>
      <c r="R6" s="14">
        <f>Q6/E6</f>
        <v>1.1703335270956472</v>
      </c>
      <c r="S6" s="13">
        <f>S7+S37</f>
        <v>1938394.6105800001</v>
      </c>
      <c r="T6" s="13">
        <f>T7+T37</f>
        <v>1126671.8907699997</v>
      </c>
      <c r="U6" s="13">
        <f>S6-T6</f>
        <v>811722.71981000039</v>
      </c>
      <c r="V6" s="13">
        <f>V7+V37</f>
        <v>327715.12202999997</v>
      </c>
      <c r="W6" s="13">
        <f>W7+W37</f>
        <v>194746.69999999998</v>
      </c>
      <c r="X6" s="13">
        <f>V6-W6</f>
        <v>132968.42202999999</v>
      </c>
      <c r="Y6" s="13">
        <f>Y7+Y37</f>
        <v>3413626.0264399997</v>
      </c>
      <c r="Z6" s="13">
        <f>Z7+Z37</f>
        <v>2100164.1707799998</v>
      </c>
      <c r="AA6" s="13">
        <f>Y6-Z6</f>
        <v>1313461.8556599999</v>
      </c>
      <c r="AB6" s="14">
        <f>AA6/E6</f>
        <v>1.1709877469138419</v>
      </c>
    </row>
    <row r="7" spans="1:28" x14ac:dyDescent="0.25">
      <c r="A7" s="15" t="s">
        <v>13</v>
      </c>
      <c r="B7" s="16" t="s">
        <v>14</v>
      </c>
      <c r="C7" s="17">
        <f>C8+C21</f>
        <v>864765.21640999999</v>
      </c>
      <c r="D7" s="17">
        <f>D8+D21</f>
        <v>951.99649999999997</v>
      </c>
      <c r="E7" s="18">
        <f t="shared" ref="E7:E99" si="0">C7-D7</f>
        <v>863813.21990999999</v>
      </c>
      <c r="F7" s="17">
        <f>F8+F21</f>
        <v>591320.8266899999</v>
      </c>
      <c r="G7" s="17">
        <f>G8+G21</f>
        <v>777.24156000000005</v>
      </c>
      <c r="H7" s="18">
        <f t="shared" ref="H7:H49" si="1">F7-G7</f>
        <v>590543.5851299999</v>
      </c>
      <c r="I7" s="17">
        <f>I8+I21</f>
        <v>72280.062170000048</v>
      </c>
      <c r="J7" s="17">
        <f>J8+J21</f>
        <v>167.61715999999998</v>
      </c>
      <c r="K7" s="18">
        <f t="shared" ref="K7:K49" si="2">I7-J7</f>
        <v>72112.445010000054</v>
      </c>
      <c r="L7" s="17">
        <f>L8+L21</f>
        <v>871999.98</v>
      </c>
      <c r="M7" s="17">
        <f>M8+M21</f>
        <v>0</v>
      </c>
      <c r="N7" s="18">
        <f t="shared" ref="N7:N48" si="3">L7-M7</f>
        <v>871999.98</v>
      </c>
      <c r="O7" s="17">
        <f>O8+O21</f>
        <v>969773.00691</v>
      </c>
      <c r="P7" s="17">
        <f>P8+P21</f>
        <v>850.57601</v>
      </c>
      <c r="Q7" s="18">
        <f t="shared" ref="Q7:Q49" si="4">O7-P7</f>
        <v>968922.43090000004</v>
      </c>
      <c r="R7" s="19">
        <f>Q7/E7</f>
        <v>1.1216804843539572</v>
      </c>
      <c r="S7" s="17">
        <f>S8+S21</f>
        <v>736721.53859999997</v>
      </c>
      <c r="T7" s="17">
        <f>T8+T21</f>
        <v>1352.8496399999999</v>
      </c>
      <c r="U7" s="18">
        <f t="shared" ref="U7:U49" si="5">S7-T7</f>
        <v>735368.68895999994</v>
      </c>
      <c r="V7" s="17">
        <f>V8+V21</f>
        <v>62968.422030000009</v>
      </c>
      <c r="W7" s="17">
        <f>W8+W21</f>
        <v>0</v>
      </c>
      <c r="X7" s="18">
        <f t="shared" ref="X7:X49" si="6">V7-W7</f>
        <v>62968.422030000009</v>
      </c>
      <c r="Y7" s="17">
        <f>Y8+Y21</f>
        <v>970333.67194999999</v>
      </c>
      <c r="Z7" s="17">
        <f>Z8+Z21</f>
        <v>1352.8496399999999</v>
      </c>
      <c r="AA7" s="18">
        <f t="shared" ref="AA7:AA49" si="7">Y7-Z7</f>
        <v>968980.82230999996</v>
      </c>
      <c r="AB7" s="19">
        <f t="shared" ref="AB7:AB99" si="8">AA7/E7</f>
        <v>1.1217480816176411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678512.71036999999</v>
      </c>
      <c r="D8" s="22"/>
      <c r="E8" s="18">
        <f t="shared" si="0"/>
        <v>678512.71036999999</v>
      </c>
      <c r="F8" s="22">
        <f>F10+F11+F12+F17+F18+F19+F20</f>
        <v>454401.67988999991</v>
      </c>
      <c r="G8" s="22"/>
      <c r="H8" s="18">
        <f t="shared" si="1"/>
        <v>454401.67988999991</v>
      </c>
      <c r="I8" s="22">
        <f>I10+I11+I12+I17+I18+I19+I20</f>
        <v>64599.81224000005</v>
      </c>
      <c r="J8" s="22"/>
      <c r="K8" s="18">
        <f t="shared" si="2"/>
        <v>64599.81224000005</v>
      </c>
      <c r="L8" s="22">
        <f>L10+L11+L12+L17+L18+L19+L20</f>
        <v>707721.16</v>
      </c>
      <c r="M8" s="22"/>
      <c r="N8" s="18">
        <f t="shared" si="3"/>
        <v>707721.16</v>
      </c>
      <c r="O8" s="22">
        <f>O10+O11+O12+O17+O18+O19+O20</f>
        <v>767026.76</v>
      </c>
      <c r="P8" s="22"/>
      <c r="Q8" s="18">
        <f t="shared" si="4"/>
        <v>767026.76</v>
      </c>
      <c r="R8" s="23">
        <f t="shared" ref="R8:R50" si="9">Q8/E8</f>
        <v>1.1304530457236865</v>
      </c>
      <c r="S8" s="22">
        <f>S10+S11+S12+S17+S18+S19+S20</f>
        <v>571260.91940999997</v>
      </c>
      <c r="T8" s="22"/>
      <c r="U8" s="18">
        <f t="shared" si="5"/>
        <v>571260.91940999997</v>
      </c>
      <c r="V8" s="22">
        <f>V10+V11+V12+V17+V18+V19+V20</f>
        <v>60782.934680000006</v>
      </c>
      <c r="W8" s="22"/>
      <c r="X8" s="18">
        <f t="shared" si="6"/>
        <v>60782.934680000006</v>
      </c>
      <c r="Y8" s="22">
        <f>Y10+Y11+Y12+Y17+Y18+Y19+Y20</f>
        <v>767307.76</v>
      </c>
      <c r="Z8" s="22"/>
      <c r="AA8" s="18">
        <f t="shared" si="7"/>
        <v>767307.76</v>
      </c>
      <c r="AB8" s="23">
        <f t="shared" si="8"/>
        <v>1.1308671868233378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602830.22973000002</v>
      </c>
      <c r="D10" s="26"/>
      <c r="E10" s="18">
        <f t="shared" si="0"/>
        <v>602830.22973000002</v>
      </c>
      <c r="F10" s="26">
        <v>408863.67362999998</v>
      </c>
      <c r="G10" s="26"/>
      <c r="H10" s="18">
        <f t="shared" si="1"/>
        <v>408863.67362999998</v>
      </c>
      <c r="I10" s="26">
        <f>456868.57517-F10</f>
        <v>48004.90154000005</v>
      </c>
      <c r="J10" s="26"/>
      <c r="K10" s="18">
        <f t="shared" si="2"/>
        <v>48004.90154000005</v>
      </c>
      <c r="L10" s="26">
        <v>643303.78</v>
      </c>
      <c r="M10" s="26"/>
      <c r="N10" s="18">
        <f t="shared" si="3"/>
        <v>643303.78</v>
      </c>
      <c r="O10" s="26">
        <v>643303.78</v>
      </c>
      <c r="P10" s="26"/>
      <c r="Q10" s="18">
        <f t="shared" si="4"/>
        <v>643303.78</v>
      </c>
      <c r="R10" s="19">
        <f>Q10/E10</f>
        <v>1.0671392180981494</v>
      </c>
      <c r="S10" s="26">
        <v>460893.62699999998</v>
      </c>
      <c r="T10" s="26"/>
      <c r="U10" s="18">
        <f t="shared" si="5"/>
        <v>460893.62699999998</v>
      </c>
      <c r="V10" s="26">
        <v>53678.682200000003</v>
      </c>
      <c r="W10" s="26"/>
      <c r="X10" s="18">
        <f t="shared" si="6"/>
        <v>53678.682200000003</v>
      </c>
      <c r="Y10" s="26">
        <f>O10</f>
        <v>643303.78</v>
      </c>
      <c r="Z10" s="26"/>
      <c r="AA10" s="18">
        <f t="shared" si="7"/>
        <v>643303.78</v>
      </c>
      <c r="AB10" s="19">
        <f t="shared" si="8"/>
        <v>1.0671392180981494</v>
      </c>
    </row>
    <row r="11" spans="1:28" x14ac:dyDescent="0.25">
      <c r="A11" s="24" t="s">
        <v>20</v>
      </c>
      <c r="B11" s="25" t="s">
        <v>21</v>
      </c>
      <c r="C11" s="26">
        <v>13555.22104</v>
      </c>
      <c r="D11" s="26"/>
      <c r="E11" s="18">
        <f t="shared" si="0"/>
        <v>13555.22104</v>
      </c>
      <c r="F11" s="26">
        <v>9862.0643500000006</v>
      </c>
      <c r="G11" s="26"/>
      <c r="H11" s="18">
        <f t="shared" si="1"/>
        <v>9862.0643500000006</v>
      </c>
      <c r="I11" s="26">
        <f>11095.71068-F11</f>
        <v>1233.6463299999996</v>
      </c>
      <c r="J11" s="26"/>
      <c r="K11" s="18">
        <f t="shared" si="2"/>
        <v>1233.6463299999996</v>
      </c>
      <c r="L11" s="26">
        <v>14434</v>
      </c>
      <c r="M11" s="26"/>
      <c r="N11" s="18">
        <f t="shared" si="3"/>
        <v>14434</v>
      </c>
      <c r="O11" s="26">
        <v>14434</v>
      </c>
      <c r="P11" s="26"/>
      <c r="Q11" s="18">
        <f t="shared" si="4"/>
        <v>14434</v>
      </c>
      <c r="R11" s="19"/>
      <c r="S11" s="26">
        <v>11903.2238</v>
      </c>
      <c r="T11" s="26"/>
      <c r="U11" s="18">
        <f t="shared" si="5"/>
        <v>11903.2238</v>
      </c>
      <c r="V11" s="26">
        <v>774.89238999999998</v>
      </c>
      <c r="W11" s="26"/>
      <c r="X11" s="18">
        <f t="shared" si="6"/>
        <v>774.89238999999998</v>
      </c>
      <c r="Y11" s="26">
        <f>O11</f>
        <v>14434</v>
      </c>
      <c r="Z11" s="26"/>
      <c r="AA11" s="18">
        <f t="shared" si="7"/>
        <v>14434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43087.130589999993</v>
      </c>
      <c r="D12" s="27">
        <f>SUM(D13:D16)</f>
        <v>0</v>
      </c>
      <c r="E12" s="18">
        <f>C12-D12</f>
        <v>43087.130589999993</v>
      </c>
      <c r="F12" s="27">
        <f>SUM(F13:F16)</f>
        <v>27230.17007</v>
      </c>
      <c r="G12" s="27">
        <f>SUM(G13:G16)</f>
        <v>0</v>
      </c>
      <c r="H12" s="18">
        <f t="shared" si="1"/>
        <v>27230.17007</v>
      </c>
      <c r="I12" s="27">
        <f>SUM(I13:I16)</f>
        <v>12046.534699999998</v>
      </c>
      <c r="J12" s="27">
        <f>SUM(J13:J16)</f>
        <v>0</v>
      </c>
      <c r="K12" s="18">
        <f>I12-J12</f>
        <v>12046.534699999998</v>
      </c>
      <c r="L12" s="27">
        <f>SUM(L13:L16)</f>
        <v>31775.38</v>
      </c>
      <c r="M12" s="27">
        <f>SUM(M13:M16)</f>
        <v>0</v>
      </c>
      <c r="N12" s="18">
        <f t="shared" si="3"/>
        <v>31775.38</v>
      </c>
      <c r="O12" s="27">
        <f>SUM(O13:O16)</f>
        <v>90299.98</v>
      </c>
      <c r="P12" s="27">
        <f>SUM(P13:P16)</f>
        <v>0</v>
      </c>
      <c r="Q12" s="18">
        <f t="shared" si="4"/>
        <v>90299.98</v>
      </c>
      <c r="R12" s="19">
        <f t="shared" si="9"/>
        <v>2.09575292583901</v>
      </c>
      <c r="S12" s="27">
        <f>SUM(S13:S16)</f>
        <v>86390.257549999995</v>
      </c>
      <c r="T12" s="27">
        <f>SUM(T13:T16)</f>
        <v>0</v>
      </c>
      <c r="U12" s="18">
        <f t="shared" si="5"/>
        <v>86390.257549999995</v>
      </c>
      <c r="V12" s="27">
        <f>SUM(V13:V16)</f>
        <v>3656.6115200000004</v>
      </c>
      <c r="W12" s="27">
        <f>SUM(W13:W16)</f>
        <v>0</v>
      </c>
      <c r="X12" s="18">
        <f t="shared" si="6"/>
        <v>3656.6115200000004</v>
      </c>
      <c r="Y12" s="27">
        <f>SUM(Y13:Y16)</f>
        <v>89999.98</v>
      </c>
      <c r="Z12" s="27">
        <f>SUM(Z13:Z16)</f>
        <v>0</v>
      </c>
      <c r="AA12" s="18">
        <f t="shared" si="7"/>
        <v>89999.98</v>
      </c>
      <c r="AB12" s="19">
        <f t="shared" si="8"/>
        <v>2.0887902899917852</v>
      </c>
    </row>
    <row r="13" spans="1:28" ht="26.25" x14ac:dyDescent="0.25">
      <c r="A13" s="24"/>
      <c r="B13" s="25" t="s">
        <v>24</v>
      </c>
      <c r="C13" s="26">
        <v>37289.356959999997</v>
      </c>
      <c r="D13" s="26"/>
      <c r="E13" s="28">
        <f t="shared" si="0"/>
        <v>37289.356959999997</v>
      </c>
      <c r="F13" s="26">
        <v>21932.82389</v>
      </c>
      <c r="G13" s="26"/>
      <c r="H13" s="28">
        <f t="shared" si="1"/>
        <v>21932.82389</v>
      </c>
      <c r="I13" s="26">
        <f>33912.09731-F13</f>
        <v>11979.273419999998</v>
      </c>
      <c r="J13" s="26"/>
      <c r="K13" s="18">
        <f>I13-J13</f>
        <v>11979.273419999998</v>
      </c>
      <c r="L13" s="26">
        <v>29945.38</v>
      </c>
      <c r="M13" s="26"/>
      <c r="N13" s="28">
        <f t="shared" si="3"/>
        <v>29945.38</v>
      </c>
      <c r="O13" s="26">
        <v>88599.98</v>
      </c>
      <c r="P13" s="26"/>
      <c r="Q13" s="28">
        <f t="shared" si="4"/>
        <v>88599.98</v>
      </c>
      <c r="R13" s="19">
        <f t="shared" si="9"/>
        <v>2.3760125468251037</v>
      </c>
      <c r="S13" s="26">
        <v>85393.331749999998</v>
      </c>
      <c r="T13" s="26"/>
      <c r="U13" s="28">
        <f t="shared" si="5"/>
        <v>85393.331749999998</v>
      </c>
      <c r="V13" s="26">
        <v>3314.3670900000002</v>
      </c>
      <c r="W13" s="26"/>
      <c r="X13" s="28">
        <f t="shared" si="6"/>
        <v>3314.3670900000002</v>
      </c>
      <c r="Y13" s="26">
        <f>O13</f>
        <v>88599.98</v>
      </c>
      <c r="Z13" s="26"/>
      <c r="AA13" s="28">
        <f t="shared" si="7"/>
        <v>88599.98</v>
      </c>
      <c r="AB13" s="19">
        <f t="shared" si="8"/>
        <v>2.3760125468251037</v>
      </c>
    </row>
    <row r="14" spans="1:28" ht="26.25" x14ac:dyDescent="0.25">
      <c r="A14" s="24"/>
      <c r="B14" s="25" t="s">
        <v>25</v>
      </c>
      <c r="C14" s="26">
        <v>4153.2111999999997</v>
      </c>
      <c r="D14" s="26"/>
      <c r="E14" s="28">
        <f t="shared" si="0"/>
        <v>4153.2111999999997</v>
      </c>
      <c r="F14" s="26">
        <v>4081.0641799999999</v>
      </c>
      <c r="G14" s="26"/>
      <c r="H14" s="28">
        <f t="shared" si="1"/>
        <v>4081.0641799999999</v>
      </c>
      <c r="I14" s="26">
        <f>4041.11887-F14</f>
        <v>-39.945310000000063</v>
      </c>
      <c r="J14" s="26"/>
      <c r="K14" s="18">
        <f>I14-J14</f>
        <v>-39.945310000000063</v>
      </c>
      <c r="L14" s="26">
        <v>0</v>
      </c>
      <c r="M14" s="26"/>
      <c r="N14" s="28">
        <f t="shared" si="3"/>
        <v>0</v>
      </c>
      <c r="O14" s="26">
        <v>0</v>
      </c>
      <c r="P14" s="26"/>
      <c r="Q14" s="28">
        <f t="shared" si="4"/>
        <v>0</v>
      </c>
      <c r="R14" s="19">
        <f t="shared" si="9"/>
        <v>0</v>
      </c>
      <c r="S14" s="26">
        <v>26.795089999999998</v>
      </c>
      <c r="T14" s="26"/>
      <c r="U14" s="28">
        <f t="shared" si="5"/>
        <v>26.795089999999998</v>
      </c>
      <c r="V14" s="26">
        <v>0</v>
      </c>
      <c r="W14" s="26"/>
      <c r="X14" s="28">
        <f t="shared" si="6"/>
        <v>0</v>
      </c>
      <c r="Y14" s="26">
        <v>0</v>
      </c>
      <c r="Z14" s="26"/>
      <c r="AA14" s="28">
        <f t="shared" si="7"/>
        <v>0</v>
      </c>
      <c r="AB14" s="19">
        <f t="shared" si="8"/>
        <v>0</v>
      </c>
    </row>
    <row r="15" spans="1:28" x14ac:dyDescent="0.25">
      <c r="A15" s="24"/>
      <c r="B15" s="25" t="s">
        <v>26</v>
      </c>
      <c r="C15" s="26"/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/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1644.5624299999999</v>
      </c>
      <c r="D16" s="26"/>
      <c r="E16" s="28">
        <f t="shared" si="0"/>
        <v>1644.5624299999999</v>
      </c>
      <c r="F16" s="26">
        <f>1216.282</f>
        <v>1216.2819999999999</v>
      </c>
      <c r="G16" s="26"/>
      <c r="H16" s="28">
        <f t="shared" si="1"/>
        <v>1216.2819999999999</v>
      </c>
      <c r="I16" s="26">
        <f>1323.48859-F16</f>
        <v>107.20659000000001</v>
      </c>
      <c r="J16" s="26"/>
      <c r="K16" s="18">
        <f>I16-J16</f>
        <v>107.20659000000001</v>
      </c>
      <c r="L16" s="26">
        <v>1830</v>
      </c>
      <c r="M16" s="26"/>
      <c r="N16" s="28">
        <f t="shared" si="3"/>
        <v>1830</v>
      </c>
      <c r="O16" s="26">
        <v>1700</v>
      </c>
      <c r="P16" s="26"/>
      <c r="Q16" s="28">
        <f t="shared" si="4"/>
        <v>1700</v>
      </c>
      <c r="R16" s="19">
        <f t="shared" si="9"/>
        <v>1.033709617214106</v>
      </c>
      <c r="S16" s="26">
        <v>970.13071000000002</v>
      </c>
      <c r="T16" s="26"/>
      <c r="U16" s="28">
        <f t="shared" si="5"/>
        <v>970.13071000000002</v>
      </c>
      <c r="V16" s="26">
        <v>342.24443000000002</v>
      </c>
      <c r="W16" s="26"/>
      <c r="X16" s="28">
        <f t="shared" si="6"/>
        <v>342.24443000000002</v>
      </c>
      <c r="Y16" s="26">
        <v>1400</v>
      </c>
      <c r="Z16" s="26"/>
      <c r="AA16" s="28">
        <f t="shared" si="7"/>
        <v>1400</v>
      </c>
      <c r="AB16" s="19">
        <f t="shared" si="8"/>
        <v>0.85129027299985205</v>
      </c>
    </row>
    <row r="17" spans="1:28" x14ac:dyDescent="0.25">
      <c r="A17" s="24" t="s">
        <v>28</v>
      </c>
      <c r="B17" s="25" t="s">
        <v>29</v>
      </c>
      <c r="C17" s="26">
        <v>8671.6651700000002</v>
      </c>
      <c r="D17" s="26"/>
      <c r="E17" s="18">
        <f t="shared" si="0"/>
        <v>8671.6651700000002</v>
      </c>
      <c r="F17" s="26">
        <f>1611.1798</f>
        <v>1611.1797999999999</v>
      </c>
      <c r="G17" s="26"/>
      <c r="H17" s="18">
        <f t="shared" si="1"/>
        <v>1611.1797999999999</v>
      </c>
      <c r="I17" s="26">
        <f>3957.33259-F17</f>
        <v>2346.1527900000001</v>
      </c>
      <c r="J17" s="26"/>
      <c r="K17" s="18">
        <f t="shared" si="2"/>
        <v>2346.1527900000001</v>
      </c>
      <c r="L17" s="26">
        <v>8670</v>
      </c>
      <c r="M17" s="26"/>
      <c r="N17" s="18">
        <f t="shared" si="3"/>
        <v>8670</v>
      </c>
      <c r="O17" s="26">
        <v>8670</v>
      </c>
      <c r="P17" s="26"/>
      <c r="Q17" s="18">
        <f>O17-P17</f>
        <v>8670</v>
      </c>
      <c r="R17" s="19">
        <f t="shared" si="9"/>
        <v>0.99980797575005997</v>
      </c>
      <c r="S17" s="26">
        <v>2060.9088000000002</v>
      </c>
      <c r="T17" s="26"/>
      <c r="U17" s="18">
        <f t="shared" si="5"/>
        <v>2060.9088000000002</v>
      </c>
      <c r="V17" s="26">
        <v>2500</v>
      </c>
      <c r="W17" s="26"/>
      <c r="X17" s="18">
        <f t="shared" si="6"/>
        <v>2500</v>
      </c>
      <c r="Y17" s="26">
        <f>O17</f>
        <v>8670</v>
      </c>
      <c r="Z17" s="26"/>
      <c r="AA17" s="18">
        <f t="shared" si="7"/>
        <v>8670</v>
      </c>
      <c r="AB17" s="19">
        <f>AA17/E17</f>
        <v>0.99980797575005997</v>
      </c>
    </row>
    <row r="18" spans="1:28" x14ac:dyDescent="0.25">
      <c r="A18" s="24" t="s">
        <v>30</v>
      </c>
      <c r="B18" s="25" t="s">
        <v>31</v>
      </c>
      <c r="C18" s="26">
        <v>2921.5009300000002</v>
      </c>
      <c r="D18" s="26"/>
      <c r="E18" s="18">
        <f t="shared" si="0"/>
        <v>2921.5009300000002</v>
      </c>
      <c r="F18" s="26">
        <f>1842.95268</f>
        <v>1842.9526800000001</v>
      </c>
      <c r="G18" s="26"/>
      <c r="H18" s="18">
        <f t="shared" si="1"/>
        <v>1842.9526800000001</v>
      </c>
      <c r="I18" s="26">
        <f>2094.48285-F18</f>
        <v>251.53016999999977</v>
      </c>
      <c r="J18" s="26"/>
      <c r="K18" s="18">
        <f t="shared" si="2"/>
        <v>251.53016999999977</v>
      </c>
      <c r="L18" s="26">
        <v>3300</v>
      </c>
      <c r="M18" s="26"/>
      <c r="N18" s="18">
        <f t="shared" si="3"/>
        <v>3300</v>
      </c>
      <c r="O18" s="26">
        <v>2919</v>
      </c>
      <c r="P18" s="26"/>
      <c r="Q18" s="18">
        <f t="shared" si="4"/>
        <v>2919</v>
      </c>
      <c r="R18" s="19">
        <f t="shared" si="9"/>
        <v>0.99914395714397386</v>
      </c>
      <c r="S18" s="26">
        <v>3362.3741100000002</v>
      </c>
      <c r="T18" s="26"/>
      <c r="U18" s="18">
        <f t="shared" si="5"/>
        <v>3362.3741100000002</v>
      </c>
      <c r="V18" s="26">
        <v>0</v>
      </c>
      <c r="W18" s="26"/>
      <c r="X18" s="18">
        <f t="shared" si="6"/>
        <v>0</v>
      </c>
      <c r="Y18" s="26">
        <v>3500</v>
      </c>
      <c r="Z18" s="26"/>
      <c r="AA18" s="18">
        <f t="shared" si="7"/>
        <v>3500</v>
      </c>
      <c r="AB18" s="19">
        <f t="shared" si="8"/>
        <v>1.1980143371030862</v>
      </c>
    </row>
    <row r="19" spans="1:28" x14ac:dyDescent="0.25">
      <c r="A19" s="24" t="s">
        <v>32</v>
      </c>
      <c r="B19" s="25" t="s">
        <v>33</v>
      </c>
      <c r="C19" s="26">
        <v>7446.9629100000002</v>
      </c>
      <c r="D19" s="26"/>
      <c r="E19" s="18">
        <f t="shared" si="0"/>
        <v>7446.9629100000002</v>
      </c>
      <c r="F19" s="26">
        <f>4991.63936</f>
        <v>4991.6393600000001</v>
      </c>
      <c r="G19" s="26"/>
      <c r="H19" s="18">
        <f t="shared" si="1"/>
        <v>4991.6393600000001</v>
      </c>
      <c r="I19" s="26">
        <f>5708.68607-F19</f>
        <v>717.04670999999962</v>
      </c>
      <c r="J19" s="26"/>
      <c r="K19" s="18">
        <f t="shared" si="2"/>
        <v>717.04670999999962</v>
      </c>
      <c r="L19" s="26">
        <v>6238</v>
      </c>
      <c r="M19" s="26"/>
      <c r="N19" s="18">
        <f t="shared" si="3"/>
        <v>6238</v>
      </c>
      <c r="O19" s="26">
        <v>7400</v>
      </c>
      <c r="P19" s="26"/>
      <c r="Q19" s="18">
        <f t="shared" ref="Q19" si="10">O19-P19</f>
        <v>7400</v>
      </c>
      <c r="R19" s="19">
        <f t="shared" ref="R19" si="11">Q19/E19</f>
        <v>0.99369368283855197</v>
      </c>
      <c r="S19" s="26">
        <v>6650.5281500000001</v>
      </c>
      <c r="T19" s="26"/>
      <c r="U19" s="18">
        <f t="shared" si="5"/>
        <v>6650.5281500000001</v>
      </c>
      <c r="V19" s="26">
        <v>172.74857</v>
      </c>
      <c r="W19" s="26"/>
      <c r="X19" s="18">
        <f t="shared" si="6"/>
        <v>172.74857</v>
      </c>
      <c r="Y19" s="26">
        <f>O19</f>
        <v>7400</v>
      </c>
      <c r="Z19" s="26"/>
      <c r="AA19" s="18">
        <f t="shared" si="7"/>
        <v>7400</v>
      </c>
      <c r="AB19" s="19">
        <f t="shared" si="8"/>
        <v>0.99369368283855197</v>
      </c>
    </row>
    <row r="20" spans="1:28" x14ac:dyDescent="0.25">
      <c r="A20" s="24" t="s">
        <v>34</v>
      </c>
      <c r="B20" s="25" t="s">
        <v>35</v>
      </c>
      <c r="C20" s="26"/>
      <c r="D20" s="26"/>
      <c r="E20" s="18">
        <f t="shared" si="0"/>
        <v>0</v>
      </c>
      <c r="F20" s="26"/>
      <c r="G20" s="26"/>
      <c r="H20" s="18">
        <f t="shared" si="1"/>
        <v>0</v>
      </c>
      <c r="I20" s="26"/>
      <c r="J20" s="26"/>
      <c r="K20" s="18">
        <f t="shared" si="2"/>
        <v>0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 t="e">
        <f t="shared" si="9"/>
        <v>#DIV/0!</v>
      </c>
      <c r="S20" s="26">
        <v>0</v>
      </c>
      <c r="T20" s="26"/>
      <c r="U20" s="18">
        <f t="shared" si="5"/>
        <v>0</v>
      </c>
      <c r="V20" s="26">
        <v>0</v>
      </c>
      <c r="W20" s="26">
        <v>0</v>
      </c>
      <c r="X20" s="18">
        <f t="shared" si="6"/>
        <v>0</v>
      </c>
      <c r="Y20" s="26">
        <f t="shared" ref="Y20" si="12">O20</f>
        <v>0</v>
      </c>
      <c r="Z20" s="26"/>
      <c r="AA20" s="18">
        <f t="shared" si="7"/>
        <v>0</v>
      </c>
      <c r="AB20" s="19" t="e">
        <f t="shared" si="8"/>
        <v>#DIV/0!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186252.50603999998</v>
      </c>
      <c r="D21" s="29">
        <f>D23+D24+D25+D26+D27+D28+D29+D30+D31+D32+D33+D36</f>
        <v>951.99649999999997</v>
      </c>
      <c r="E21" s="30">
        <f>C21-D21</f>
        <v>185300.50953999997</v>
      </c>
      <c r="F21" s="29">
        <f>F23+F24+F25+F26+F27+F28+F29+F30+F31+F32+F33+F36</f>
        <v>136919.14680000002</v>
      </c>
      <c r="G21" s="29">
        <f>G23+G24+G25+G26+G27+G28+G29+G30+G31+G32+G33+G36</f>
        <v>777.24156000000005</v>
      </c>
      <c r="H21" s="30">
        <f t="shared" si="1"/>
        <v>136141.90524000002</v>
      </c>
      <c r="I21" s="29">
        <f>I23+I24+I25+I26+I27+I28+I29+I30+I31+I32+I33+I36</f>
        <v>7680.2499299999936</v>
      </c>
      <c r="J21" s="29">
        <f>J23+J24+J25+J26+J27+J28+J29+J30+J31+J32+J33+J36</f>
        <v>167.61715999999998</v>
      </c>
      <c r="K21" s="30">
        <f>I21-J21</f>
        <v>7512.6327699999938</v>
      </c>
      <c r="L21" s="29">
        <f>L23+L24+L25+L26+L27+L28+L29+L30+L31+L32+L33+L36</f>
        <v>164278.82</v>
      </c>
      <c r="M21" s="29">
        <f>M23+M24+M25+M26+M27+M28+M29+M30+M31+M32+M33+M36</f>
        <v>0</v>
      </c>
      <c r="N21" s="30">
        <f t="shared" si="3"/>
        <v>164278.82</v>
      </c>
      <c r="O21" s="29">
        <f>O23+O24+O25+O26+O27+O28+O29+O30+O31+O32+O33+O36</f>
        <v>202746.24691000002</v>
      </c>
      <c r="P21" s="29">
        <f>P23+P24+P25+P26+P27+P28+P29+P30+P31+P32+P33+P36</f>
        <v>850.57601</v>
      </c>
      <c r="Q21" s="30">
        <f t="shared" si="4"/>
        <v>201895.67090000003</v>
      </c>
      <c r="R21" s="31">
        <f t="shared" si="9"/>
        <v>1.0895580989021389</v>
      </c>
      <c r="S21" s="29">
        <f>S23+S24+S25+S26+S27+S28+S29+S30+S31+S32+S33+S36</f>
        <v>165460.61919</v>
      </c>
      <c r="T21" s="29">
        <f>T23+T24+T25+T26+T27+T28+T29+T30+T31+T32+T33+T36</f>
        <v>1352.8496399999999</v>
      </c>
      <c r="U21" s="30">
        <f t="shared" si="5"/>
        <v>164107.76955</v>
      </c>
      <c r="V21" s="29">
        <f>V23+V24+V25+V26+V27+V28+V29+V30+V31+V32+V33+V36</f>
        <v>2185.4873499999999</v>
      </c>
      <c r="W21" s="29">
        <f>W23+W24+W25+W26+W27+W28+W29+W30+W31+W32+W33+W36</f>
        <v>0</v>
      </c>
      <c r="X21" s="30">
        <f t="shared" si="6"/>
        <v>2185.4873499999999</v>
      </c>
      <c r="Y21" s="29">
        <f>Y23+Y24+Y25+Y26+Y27+Y28+Y29+Y30+Y31+Y32+Y33+Y36</f>
        <v>203025.91194999998</v>
      </c>
      <c r="Z21" s="29">
        <f>Z23+Z24+Z25+Z26+Z27+Z28+Z29+Z30+Z31+Z32+Z33+Z36</f>
        <v>1352.8496399999999</v>
      </c>
      <c r="AA21" s="30">
        <f t="shared" si="7"/>
        <v>201673.06230999998</v>
      </c>
      <c r="AB21" s="31">
        <f t="shared" si="8"/>
        <v>1.0883567606513556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/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v>128034.12422</v>
      </c>
      <c r="D25" s="26"/>
      <c r="E25" s="18">
        <f t="shared" ref="E25:E28" si="13">C25-D25</f>
        <v>128034.12422</v>
      </c>
      <c r="F25" s="26">
        <f>93896.76736+1785.13833</f>
        <v>95681.90569</v>
      </c>
      <c r="G25" s="26"/>
      <c r="H25" s="18">
        <f t="shared" si="1"/>
        <v>95681.90569</v>
      </c>
      <c r="I25" s="26">
        <f>95070.71643+1945.85487-F25</f>
        <v>1334.6656099999964</v>
      </c>
      <c r="J25" s="26"/>
      <c r="K25" s="18">
        <f t="shared" si="2"/>
        <v>1334.6656099999964</v>
      </c>
      <c r="L25" s="26">
        <v>126567.59</v>
      </c>
      <c r="M25" s="26"/>
      <c r="N25" s="18">
        <f t="shared" si="3"/>
        <v>126567.59</v>
      </c>
      <c r="O25" s="26">
        <f>131716.3+2226.9</f>
        <v>133943.19999999998</v>
      </c>
      <c r="P25" s="26"/>
      <c r="Q25" s="18">
        <f t="shared" si="4"/>
        <v>133943.19999999998</v>
      </c>
      <c r="R25" s="19"/>
      <c r="S25" s="26">
        <f>98380.2891+1711.87592</f>
        <v>100092.16502</v>
      </c>
      <c r="T25" s="26"/>
      <c r="U25" s="18">
        <f t="shared" si="5"/>
        <v>100092.16502</v>
      </c>
      <c r="V25" s="26">
        <v>773.68470000000002</v>
      </c>
      <c r="W25" s="26"/>
      <c r="X25" s="18">
        <f t="shared" si="6"/>
        <v>773.68470000000002</v>
      </c>
      <c r="Y25" s="26">
        <f>O25</f>
        <v>133943.19999999998</v>
      </c>
      <c r="Z25" s="26"/>
      <c r="AA25" s="18">
        <f t="shared" si="7"/>
        <v>133943.19999999998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 t="shared" si="13"/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26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v>17565.206460000001</v>
      </c>
      <c r="D27" s="26"/>
      <c r="E27" s="18">
        <f t="shared" si="13"/>
        <v>17565.206460000001</v>
      </c>
      <c r="F27" s="26">
        <f>12014.77202</f>
        <v>12014.77202</v>
      </c>
      <c r="G27" s="26"/>
      <c r="H27" s="18">
        <f t="shared" si="1"/>
        <v>12014.77202</v>
      </c>
      <c r="I27" s="26">
        <f>13927.30857-F27</f>
        <v>1912.5365499999989</v>
      </c>
      <c r="J27" s="26"/>
      <c r="K27" s="18">
        <f t="shared" si="2"/>
        <v>1912.5365499999989</v>
      </c>
      <c r="L27" s="26">
        <v>16530.72</v>
      </c>
      <c r="M27" s="26"/>
      <c r="N27" s="18">
        <f t="shared" si="3"/>
        <v>16530.72</v>
      </c>
      <c r="O27" s="26">
        <f>17362</f>
        <v>17362</v>
      </c>
      <c r="P27" s="26"/>
      <c r="Q27" s="18">
        <f t="shared" si="4"/>
        <v>17362</v>
      </c>
      <c r="R27" s="19"/>
      <c r="S27" s="26">
        <v>13689.18838</v>
      </c>
      <c r="T27" s="26"/>
      <c r="U27" s="18">
        <f t="shared" si="5"/>
        <v>13689.18838</v>
      </c>
      <c r="V27" s="26">
        <v>1373.64195</v>
      </c>
      <c r="W27" s="26"/>
      <c r="X27" s="18">
        <f t="shared" si="6"/>
        <v>1373.64195</v>
      </c>
      <c r="Y27" s="26">
        <f>O27</f>
        <v>17362</v>
      </c>
      <c r="Z27" s="26"/>
      <c r="AA27" s="18">
        <f t="shared" si="7"/>
        <v>17362</v>
      </c>
      <c r="AB27" s="19"/>
    </row>
    <row r="28" spans="1:28" ht="38.25" x14ac:dyDescent="0.25">
      <c r="A28" s="24" t="s">
        <v>32</v>
      </c>
      <c r="B28" s="32" t="s">
        <v>43</v>
      </c>
      <c r="C28" s="26"/>
      <c r="D28" s="26"/>
      <c r="E28" s="18">
        <f t="shared" si="13"/>
        <v>0</v>
      </c>
      <c r="F28" s="26"/>
      <c r="G28" s="26"/>
      <c r="H28" s="18">
        <f t="shared" si="1"/>
        <v>0</v>
      </c>
      <c r="I28" s="26"/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/>
      <c r="T28" s="26"/>
      <c r="U28" s="18">
        <f t="shared" si="5"/>
        <v>0</v>
      </c>
      <c r="V28" s="26"/>
      <c r="W28" s="26"/>
      <c r="X28" s="18">
        <f t="shared" si="6"/>
        <v>0</v>
      </c>
      <c r="Y28" s="26"/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245.4</v>
      </c>
      <c r="D29" s="26"/>
      <c r="E29" s="18">
        <f t="shared" si="0"/>
        <v>245.4</v>
      </c>
      <c r="F29" s="26">
        <f>245.4</f>
        <v>245.4</v>
      </c>
      <c r="G29" s="26"/>
      <c r="H29" s="18">
        <f t="shared" si="1"/>
        <v>245.4</v>
      </c>
      <c r="I29" s="26">
        <f>245.4-F29</f>
        <v>0</v>
      </c>
      <c r="J29" s="26"/>
      <c r="K29" s="18">
        <f t="shared" si="2"/>
        <v>0</v>
      </c>
      <c r="L29" s="26">
        <v>245</v>
      </c>
      <c r="M29" s="26"/>
      <c r="N29" s="18">
        <f t="shared" si="3"/>
        <v>245</v>
      </c>
      <c r="O29" s="26">
        <v>3.5</v>
      </c>
      <c r="P29" s="26"/>
      <c r="Q29" s="18">
        <f t="shared" si="4"/>
        <v>3.5</v>
      </c>
      <c r="R29" s="19">
        <f t="shared" si="9"/>
        <v>1.4262428687856561E-2</v>
      </c>
      <c r="S29" s="26">
        <v>1</v>
      </c>
      <c r="T29" s="26"/>
      <c r="U29" s="18">
        <f t="shared" si="5"/>
        <v>1</v>
      </c>
      <c r="V29" s="26">
        <v>0</v>
      </c>
      <c r="W29" s="26"/>
      <c r="X29" s="18">
        <f t="shared" si="6"/>
        <v>0</v>
      </c>
      <c r="Y29" s="26">
        <f>O29</f>
        <v>3.5</v>
      </c>
      <c r="Z29" s="26"/>
      <c r="AA29" s="18">
        <f t="shared" si="7"/>
        <v>3.5</v>
      </c>
      <c r="AB29" s="19">
        <f t="shared" si="8"/>
        <v>1.4262428687856561E-2</v>
      </c>
    </row>
    <row r="30" spans="1:28" ht="25.5" x14ac:dyDescent="0.25">
      <c r="A30" s="24" t="s">
        <v>45</v>
      </c>
      <c r="B30" s="32" t="s">
        <v>46</v>
      </c>
      <c r="C30" s="26">
        <v>20930.612959999999</v>
      </c>
      <c r="D30" s="26"/>
      <c r="E30" s="18">
        <f t="shared" si="0"/>
        <v>20930.612959999999</v>
      </c>
      <c r="F30" s="26">
        <f>17857.25129</f>
        <v>17857.25129</v>
      </c>
      <c r="G30" s="26"/>
      <c r="H30" s="18">
        <f t="shared" si="1"/>
        <v>17857.25129</v>
      </c>
      <c r="I30" s="26">
        <f>20929.48706-F30</f>
        <v>3072.2357699999993</v>
      </c>
      <c r="J30" s="26"/>
      <c r="K30" s="18">
        <f t="shared" si="2"/>
        <v>3072.2357699999993</v>
      </c>
      <c r="L30" s="26">
        <v>13545.51</v>
      </c>
      <c r="M30" s="26"/>
      <c r="N30" s="18">
        <f t="shared" si="3"/>
        <v>13545.51</v>
      </c>
      <c r="O30" s="26">
        <v>30000</v>
      </c>
      <c r="P30" s="26"/>
      <c r="Q30" s="18">
        <f t="shared" si="4"/>
        <v>30000</v>
      </c>
      <c r="R30" s="19">
        <f t="shared" si="9"/>
        <v>1.433307283323823</v>
      </c>
      <c r="S30" s="26">
        <f>29961.05384</f>
        <v>29961.05384</v>
      </c>
      <c r="T30" s="26"/>
      <c r="U30" s="18">
        <f t="shared" si="5"/>
        <v>29961.05384</v>
      </c>
      <c r="V30" s="26">
        <v>38.160699999999999</v>
      </c>
      <c r="W30" s="26"/>
      <c r="X30" s="18">
        <f t="shared" si="6"/>
        <v>38.160699999999999</v>
      </c>
      <c r="Y30" s="26">
        <f>O30</f>
        <v>30000</v>
      </c>
      <c r="Z30" s="26"/>
      <c r="AA30" s="18">
        <f t="shared" si="7"/>
        <v>30000</v>
      </c>
      <c r="AB30" s="19">
        <f t="shared" si="8"/>
        <v>1.433307283323823</v>
      </c>
    </row>
    <row r="31" spans="1:28" ht="25.5" x14ac:dyDescent="0.25">
      <c r="A31" s="24" t="s">
        <v>47</v>
      </c>
      <c r="B31" s="32" t="s">
        <v>48</v>
      </c>
      <c r="C31" s="26">
        <v>5337.9565599999996</v>
      </c>
      <c r="D31" s="26">
        <v>81.996499999999997</v>
      </c>
      <c r="E31" s="18">
        <f t="shared" si="0"/>
        <v>5255.9600599999994</v>
      </c>
      <c r="F31" s="26">
        <f>3223.44102</f>
        <v>3223.4410200000002</v>
      </c>
      <c r="G31" s="26">
        <v>73.141559999999998</v>
      </c>
      <c r="H31" s="18">
        <f t="shared" si="1"/>
        <v>3150.2994600000002</v>
      </c>
      <c r="I31" s="26">
        <f>3623.08284-F31</f>
        <v>399.64181999999983</v>
      </c>
      <c r="J31" s="26">
        <f>74.85872-G31</f>
        <v>1.7171600000000069</v>
      </c>
      <c r="K31" s="18">
        <f t="shared" si="2"/>
        <v>397.92465999999979</v>
      </c>
      <c r="L31" s="26">
        <v>1900</v>
      </c>
      <c r="M31" s="26"/>
      <c r="N31" s="18">
        <f t="shared" si="3"/>
        <v>1900</v>
      </c>
      <c r="O31" s="26">
        <v>8112.7</v>
      </c>
      <c r="P31" s="26">
        <f>28.77601+16.117+241.683</f>
        <v>286.57601</v>
      </c>
      <c r="Q31" s="18">
        <f t="shared" si="4"/>
        <v>7826.12399</v>
      </c>
      <c r="R31" s="19">
        <f t="shared" si="9"/>
        <v>1.4889998973850651</v>
      </c>
      <c r="S31" s="26">
        <v>8830.8605499999994</v>
      </c>
      <c r="T31" s="26">
        <f>531.04964+241.683+16.117</f>
        <v>788.84963999999991</v>
      </c>
      <c r="U31" s="18">
        <f t="shared" si="5"/>
        <v>8042.0109099999991</v>
      </c>
      <c r="V31" s="26">
        <v>0</v>
      </c>
      <c r="W31" s="26"/>
      <c r="X31" s="18">
        <f t="shared" si="6"/>
        <v>0</v>
      </c>
      <c r="Y31" s="26">
        <f>S31</f>
        <v>8830.8605499999994</v>
      </c>
      <c r="Z31" s="26">
        <f>T31</f>
        <v>788.84963999999991</v>
      </c>
      <c r="AA31" s="18">
        <f t="shared" si="7"/>
        <v>8042.0109099999991</v>
      </c>
      <c r="AB31" s="19">
        <f t="shared" si="8"/>
        <v>1.5300745854602251</v>
      </c>
    </row>
    <row r="32" spans="1:28" ht="25.5" x14ac:dyDescent="0.25">
      <c r="A32" s="24" t="s">
        <v>49</v>
      </c>
      <c r="B32" s="32" t="s">
        <v>50</v>
      </c>
      <c r="C32" s="26">
        <v>9417.3407900000002</v>
      </c>
      <c r="D32" s="26"/>
      <c r="E32" s="18">
        <f t="shared" si="0"/>
        <v>9417.3407900000002</v>
      </c>
      <c r="F32" s="26">
        <f>6509.86769</f>
        <v>6509.86769</v>
      </c>
      <c r="G32" s="26"/>
      <c r="H32" s="18">
        <f t="shared" si="1"/>
        <v>6509.86769</v>
      </c>
      <c r="I32" s="26">
        <f>7220.46033-F32</f>
        <v>710.59263999999985</v>
      </c>
      <c r="J32" s="26"/>
      <c r="K32" s="18">
        <f t="shared" si="2"/>
        <v>710.59263999999985</v>
      </c>
      <c r="L32" s="26">
        <v>5190</v>
      </c>
      <c r="M32" s="26"/>
      <c r="N32" s="18">
        <f t="shared" si="3"/>
        <v>5190</v>
      </c>
      <c r="O32" s="26">
        <v>10260.80042</v>
      </c>
      <c r="P32" s="26"/>
      <c r="Q32" s="18">
        <f t="shared" si="4"/>
        <v>10260.80042</v>
      </c>
      <c r="R32" s="19">
        <f t="shared" si="9"/>
        <v>1.0895645223857295</v>
      </c>
      <c r="S32" s="26">
        <v>10444.36801</v>
      </c>
      <c r="T32" s="26"/>
      <c r="U32" s="18">
        <f t="shared" si="5"/>
        <v>10444.36801</v>
      </c>
      <c r="V32" s="26">
        <v>0</v>
      </c>
      <c r="W32" s="26"/>
      <c r="X32" s="18">
        <f t="shared" si="6"/>
        <v>0</v>
      </c>
      <c r="Y32" s="26">
        <f>S32</f>
        <v>10444.36801</v>
      </c>
      <c r="Z32" s="26"/>
      <c r="AA32" s="18">
        <f t="shared" si="7"/>
        <v>10444.36801</v>
      </c>
      <c r="AB32" s="19">
        <f t="shared" si="8"/>
        <v>1.1090570303126941</v>
      </c>
    </row>
    <row r="33" spans="1:28" x14ac:dyDescent="0.25">
      <c r="A33" s="24" t="s">
        <v>51</v>
      </c>
      <c r="B33" s="32" t="s">
        <v>52</v>
      </c>
      <c r="C33" s="26">
        <v>2630.6406400000001</v>
      </c>
      <c r="D33" s="26"/>
      <c r="E33" s="18">
        <f t="shared" si="0"/>
        <v>2630.6406400000001</v>
      </c>
      <c r="F33" s="26">
        <f>693.75906</f>
        <v>693.75905999999998</v>
      </c>
      <c r="G33" s="26"/>
      <c r="H33" s="18">
        <f t="shared" si="1"/>
        <v>693.75905999999998</v>
      </c>
      <c r="I33" s="26">
        <f>778.4366-F33</f>
        <v>84.677540000000022</v>
      </c>
      <c r="J33" s="26"/>
      <c r="K33" s="18">
        <f t="shared" si="2"/>
        <v>84.677540000000022</v>
      </c>
      <c r="L33" s="26">
        <v>300</v>
      </c>
      <c r="M33" s="26"/>
      <c r="N33" s="18">
        <f t="shared" si="3"/>
        <v>300</v>
      </c>
      <c r="O33" s="26">
        <f>2+1769.5+701.94649+26.6</f>
        <v>2500.0464900000002</v>
      </c>
      <c r="P33" s="26"/>
      <c r="Q33" s="18">
        <f t="shared" si="4"/>
        <v>2500.0464900000002</v>
      </c>
      <c r="R33" s="19">
        <f t="shared" si="9"/>
        <v>0.95035652228044354</v>
      </c>
      <c r="S33" s="26">
        <v>2761.01854</v>
      </c>
      <c r="T33" s="26"/>
      <c r="U33" s="18">
        <f t="shared" si="5"/>
        <v>2761.01854</v>
      </c>
      <c r="V33" s="26">
        <v>0</v>
      </c>
      <c r="W33" s="26"/>
      <c r="X33" s="18">
        <f t="shared" si="6"/>
        <v>0</v>
      </c>
      <c r="Y33" s="26">
        <f>S33</f>
        <v>2761.01854</v>
      </c>
      <c r="Z33" s="26"/>
      <c r="AA33" s="18">
        <f t="shared" si="7"/>
        <v>2761.01854</v>
      </c>
      <c r="AB33" s="19">
        <f t="shared" si="8"/>
        <v>1.0495612734090507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26"/>
      <c r="P34" s="35"/>
      <c r="Q34" s="36"/>
      <c r="R34" s="37"/>
      <c r="S34" s="35"/>
      <c r="T34" s="35"/>
      <c r="U34" s="36"/>
      <c r="V34" s="35"/>
      <c r="W34" s="35"/>
      <c r="X34" s="36"/>
      <c r="Y34" s="26"/>
      <c r="Z34" s="35"/>
      <c r="AA34" s="36"/>
      <c r="AB34" s="37"/>
    </row>
    <row r="35" spans="1:28" ht="38.25" x14ac:dyDescent="0.25">
      <c r="A35" s="24"/>
      <c r="B35" s="32" t="s">
        <v>53</v>
      </c>
      <c r="C35" s="26">
        <v>0</v>
      </c>
      <c r="D35" s="26"/>
      <c r="E35" s="18">
        <f t="shared" ref="E35" si="14">C35-D35</f>
        <v>0</v>
      </c>
      <c r="F35" s="26">
        <v>0</v>
      </c>
      <c r="G35" s="26"/>
      <c r="H35" s="18">
        <f t="shared" ref="H35" si="15">F35-G35</f>
        <v>0</v>
      </c>
      <c r="I35" s="26"/>
      <c r="J35" s="26"/>
      <c r="K35" s="18">
        <f t="shared" ref="K35" si="16">I35-J35</f>
        <v>0</v>
      </c>
      <c r="L35" s="26">
        <v>0</v>
      </c>
      <c r="M35" s="26"/>
      <c r="N35" s="18">
        <f t="shared" ref="N35" si="17">L35-M35</f>
        <v>0</v>
      </c>
      <c r="O35" s="26"/>
      <c r="P35" s="26"/>
      <c r="Q35" s="18">
        <f t="shared" ref="Q35" si="18">O35-P35</f>
        <v>0</v>
      </c>
      <c r="R35" s="19" t="e">
        <f t="shared" ref="R35" si="19">Q35/E35</f>
        <v>#DIV/0!</v>
      </c>
      <c r="S35" s="26"/>
      <c r="T35" s="26"/>
      <c r="U35" s="18">
        <f t="shared" ref="U35" si="20">S35-T35</f>
        <v>0</v>
      </c>
      <c r="V35" s="26"/>
      <c r="W35" s="26"/>
      <c r="X35" s="18">
        <f t="shared" ref="X35" si="21">V35-W35</f>
        <v>0</v>
      </c>
      <c r="Y35" s="26">
        <f t="shared" ref="Y35" si="22">O35</f>
        <v>0</v>
      </c>
      <c r="Z35" s="26"/>
      <c r="AA35" s="18">
        <f t="shared" ref="AA35" si="23">Y35-Z35</f>
        <v>0</v>
      </c>
      <c r="AB35" s="19" t="e">
        <f t="shared" ref="AB35" si="24">AA35/E35</f>
        <v>#DIV/0!</v>
      </c>
    </row>
    <row r="36" spans="1:28" x14ac:dyDescent="0.25">
      <c r="A36" s="24" t="s">
        <v>54</v>
      </c>
      <c r="B36" s="25" t="s">
        <v>55</v>
      </c>
      <c r="C36" s="26">
        <v>2091.2244099999998</v>
      </c>
      <c r="D36" s="26">
        <v>870</v>
      </c>
      <c r="E36" s="18">
        <f t="shared" si="0"/>
        <v>1221.2244099999998</v>
      </c>
      <c r="F36" s="26">
        <f>692.75003</f>
        <v>692.75003000000004</v>
      </c>
      <c r="G36" s="26">
        <v>704.1</v>
      </c>
      <c r="H36" s="18">
        <f t="shared" si="1"/>
        <v>-11.349969999999985</v>
      </c>
      <c r="I36" s="26">
        <f>858.65003-F36</f>
        <v>165.89999999999998</v>
      </c>
      <c r="J36" s="26">
        <f>870-G36</f>
        <v>165.89999999999998</v>
      </c>
      <c r="K36" s="18">
        <f t="shared" si="2"/>
        <v>0</v>
      </c>
      <c r="L36" s="26"/>
      <c r="M36" s="26"/>
      <c r="N36" s="18">
        <f t="shared" si="3"/>
        <v>0</v>
      </c>
      <c r="O36" s="26">
        <f>564</f>
        <v>564</v>
      </c>
      <c r="P36" s="26">
        <f>564</f>
        <v>564</v>
      </c>
      <c r="Q36" s="18">
        <f t="shared" si="4"/>
        <v>0</v>
      </c>
      <c r="R36" s="19">
        <f t="shared" si="9"/>
        <v>0</v>
      </c>
      <c r="S36" s="26">
        <f>-319.93704+0.90189</f>
        <v>-319.03515000000004</v>
      </c>
      <c r="T36" s="26">
        <f>564</f>
        <v>564</v>
      </c>
      <c r="U36" s="18">
        <f t="shared" si="5"/>
        <v>-883.03515000000004</v>
      </c>
      <c r="V36" s="26">
        <v>0</v>
      </c>
      <c r="W36" s="26">
        <f>V36</f>
        <v>0</v>
      </c>
      <c r="X36" s="18">
        <f t="shared" si="6"/>
        <v>0</v>
      </c>
      <c r="Y36" s="26">
        <f>S36</f>
        <v>-319.03515000000004</v>
      </c>
      <c r="Z36" s="26">
        <f>T36</f>
        <v>564</v>
      </c>
      <c r="AA36" s="18">
        <f t="shared" si="7"/>
        <v>-883.03515000000004</v>
      </c>
      <c r="AB36" s="19">
        <f t="shared" si="8"/>
        <v>-0.72307361592944264</v>
      </c>
    </row>
    <row r="37" spans="1:28" x14ac:dyDescent="0.25">
      <c r="A37" s="38" t="s">
        <v>56</v>
      </c>
      <c r="B37" s="16" t="s">
        <v>57</v>
      </c>
      <c r="C37" s="17">
        <f>C38+C47+C49+C48</f>
        <v>1789982.7373399998</v>
      </c>
      <c r="D37" s="17">
        <f>D38+D47+D49+D48</f>
        <v>1532125.9319899997</v>
      </c>
      <c r="E37" s="30">
        <f t="shared" si="0"/>
        <v>257856.80535000004</v>
      </c>
      <c r="F37" s="17">
        <f>F38+F47+F49+F48</f>
        <v>995590.04824999999</v>
      </c>
      <c r="G37" s="17">
        <f>G38+G47+G49+G48</f>
        <v>874687.03475000011</v>
      </c>
      <c r="H37" s="30">
        <f t="shared" si="1"/>
        <v>120903.01349999988</v>
      </c>
      <c r="I37" s="17">
        <f>I38+I47+I49+I48</f>
        <v>233653.11318999995</v>
      </c>
      <c r="J37" s="17">
        <f>J38+J47+J49+J48</f>
        <v>162549.53818999999</v>
      </c>
      <c r="K37" s="30">
        <f t="shared" si="2"/>
        <v>71103.574999999953</v>
      </c>
      <c r="L37" s="17">
        <f>L38+L47+L49+L48</f>
        <v>2195542.8676100001</v>
      </c>
      <c r="M37" s="17">
        <f>M38+M47+M49+M48</f>
        <v>1871812.6376099999</v>
      </c>
      <c r="N37" s="30">
        <f t="shared" si="3"/>
        <v>323730.23000000021</v>
      </c>
      <c r="O37" s="17">
        <f>O38+O47+O49+O48</f>
        <v>2415830.0438699997</v>
      </c>
      <c r="P37" s="17">
        <f>P38+P47+P49+P48</f>
        <v>2072024.43787</v>
      </c>
      <c r="Q37" s="30">
        <f t="shared" si="4"/>
        <v>343805.60599999968</v>
      </c>
      <c r="R37" s="31">
        <f t="shared" si="9"/>
        <v>1.3333198847838732</v>
      </c>
      <c r="S37" s="17">
        <f>S38+S47+S49+S48</f>
        <v>1201673.07198</v>
      </c>
      <c r="T37" s="17">
        <f>T38+T47+T49+T48</f>
        <v>1125319.0411299998</v>
      </c>
      <c r="U37" s="30">
        <f t="shared" si="5"/>
        <v>76354.030850000214</v>
      </c>
      <c r="V37" s="17">
        <f>V38+V47+V49+V48</f>
        <v>264746.69999999995</v>
      </c>
      <c r="W37" s="17">
        <f>W38+W47+W49+W48</f>
        <v>194746.69999999998</v>
      </c>
      <c r="X37" s="30">
        <f t="shared" si="6"/>
        <v>69999.999999999971</v>
      </c>
      <c r="Y37" s="17">
        <f>Y38+Y47+Y49+Y48</f>
        <v>2443292.3544899998</v>
      </c>
      <c r="Z37" s="17">
        <f>Z38+Z47+Z49+Z48</f>
        <v>2098811.3211399997</v>
      </c>
      <c r="AA37" s="30">
        <f t="shared" si="7"/>
        <v>344481.03335000016</v>
      </c>
      <c r="AB37" s="31">
        <f t="shared" si="8"/>
        <v>1.335939274057248</v>
      </c>
    </row>
    <row r="38" spans="1:28" ht="26.25" x14ac:dyDescent="0.25">
      <c r="A38" s="24" t="s">
        <v>58</v>
      </c>
      <c r="B38" s="25" t="s">
        <v>59</v>
      </c>
      <c r="C38" s="39">
        <f>C39+C43+C45+C46</f>
        <v>1777812.51345</v>
      </c>
      <c r="D38" s="39">
        <f>D39+D43+D45+D46</f>
        <v>1519985.6034499998</v>
      </c>
      <c r="E38" s="18">
        <f t="shared" si="0"/>
        <v>257826.91000000015</v>
      </c>
      <c r="F38" s="39">
        <f>F39+F43+F45+F46</f>
        <v>983418.34114000003</v>
      </c>
      <c r="G38" s="39">
        <f>G39+G43+G45+G46</f>
        <v>862543.85714000009</v>
      </c>
      <c r="H38" s="18">
        <f t="shared" si="1"/>
        <v>120874.48399999994</v>
      </c>
      <c r="I38" s="39">
        <f>I39+I43+I45+I46</f>
        <v>233653.11318999995</v>
      </c>
      <c r="J38" s="39">
        <f>J39+J43+J45+J46</f>
        <v>162549.53818999999</v>
      </c>
      <c r="K38" s="18">
        <f t="shared" si="2"/>
        <v>71103.574999999953</v>
      </c>
      <c r="L38" s="39">
        <f>L39+L43+L45+L46</f>
        <v>2195542.8676100001</v>
      </c>
      <c r="M38" s="39">
        <f>M39+M43+M45+M46</f>
        <v>1871812.6376099999</v>
      </c>
      <c r="N38" s="18">
        <f t="shared" si="3"/>
        <v>323730.23000000021</v>
      </c>
      <c r="O38" s="39">
        <f>O39+O43+O45+O46</f>
        <v>2411374.9228699999</v>
      </c>
      <c r="P38" s="39">
        <f>P39+P43+P45+P46</f>
        <v>2067569.31687</v>
      </c>
      <c r="Q38" s="18">
        <f t="shared" si="4"/>
        <v>343805.60599999991</v>
      </c>
      <c r="R38" s="19">
        <f t="shared" si="9"/>
        <v>1.3334744848782454</v>
      </c>
      <c r="S38" s="39">
        <f>S39+S43+S45+S46</f>
        <v>1198944.2966799999</v>
      </c>
      <c r="T38" s="39">
        <f>T39+T43+T45+T46</f>
        <v>1123265.6931799997</v>
      </c>
      <c r="U38" s="18">
        <f t="shared" si="5"/>
        <v>75678.603500000201</v>
      </c>
      <c r="V38" s="39">
        <f>V39+V43+V45+V46</f>
        <v>264746.69999999995</v>
      </c>
      <c r="W38" s="39">
        <f>W39+W43+W45+W46</f>
        <v>194746.69999999998</v>
      </c>
      <c r="X38" s="18">
        <f t="shared" si="6"/>
        <v>69999.999999999971</v>
      </c>
      <c r="Y38" s="39">
        <f>Y39+Y43+Y45+Y46</f>
        <v>2440563.5781899998</v>
      </c>
      <c r="Z38" s="39">
        <f>Z39+Z43+Z45+Z46</f>
        <v>2096757.9721899999</v>
      </c>
      <c r="AA38" s="18">
        <f t="shared" si="7"/>
        <v>343805.60599999991</v>
      </c>
      <c r="AB38" s="19">
        <f t="shared" si="8"/>
        <v>1.3334744848782454</v>
      </c>
    </row>
    <row r="39" spans="1:28" x14ac:dyDescent="0.25">
      <c r="A39" s="24" t="s">
        <v>18</v>
      </c>
      <c r="B39" s="25" t="s">
        <v>60</v>
      </c>
      <c r="C39" s="26">
        <f>C40+C41+C42</f>
        <v>257826.91000000003</v>
      </c>
      <c r="D39" s="40"/>
      <c r="E39" s="18">
        <f>C39-D39</f>
        <v>257826.91000000003</v>
      </c>
      <c r="F39" s="26">
        <f>F40+F41+F42</f>
        <v>120874.484</v>
      </c>
      <c r="G39" s="40"/>
      <c r="H39" s="18">
        <f>F39-G39</f>
        <v>120874.484</v>
      </c>
      <c r="I39" s="26">
        <f>I40+I41+I42</f>
        <v>71103.574999999997</v>
      </c>
      <c r="J39" s="40"/>
      <c r="K39" s="18">
        <f>I39-J39</f>
        <v>71103.574999999997</v>
      </c>
      <c r="L39" s="26">
        <f>L40+L41+L42</f>
        <v>323730.23</v>
      </c>
      <c r="M39" s="40"/>
      <c r="N39" s="18">
        <f>L39-M39</f>
        <v>323730.23</v>
      </c>
      <c r="O39" s="26">
        <f>O40+O41+O42</f>
        <v>343805.60599999997</v>
      </c>
      <c r="P39" s="40"/>
      <c r="Q39" s="18">
        <f>O39-P39</f>
        <v>343805.60599999997</v>
      </c>
      <c r="R39" s="19">
        <f t="shared" si="9"/>
        <v>1.333474484878246</v>
      </c>
      <c r="S39" s="26">
        <f>S40+S41</f>
        <v>75678.603499999997</v>
      </c>
      <c r="T39" s="40"/>
      <c r="U39" s="18">
        <f>S39-T39</f>
        <v>75678.603499999997</v>
      </c>
      <c r="V39" s="26">
        <f>V40+V41+V42</f>
        <v>70000</v>
      </c>
      <c r="W39" s="40"/>
      <c r="X39" s="18">
        <f>V39-W39</f>
        <v>70000</v>
      </c>
      <c r="Y39" s="26">
        <f>Y40+Y41</f>
        <v>343805.60599999997</v>
      </c>
      <c r="Z39" s="40"/>
      <c r="AA39" s="18">
        <f>Y39-Z39</f>
        <v>343805.60599999997</v>
      </c>
      <c r="AB39" s="19">
        <f t="shared" si="8"/>
        <v>1.333474484878246</v>
      </c>
    </row>
    <row r="40" spans="1:28" x14ac:dyDescent="0.25">
      <c r="A40" s="24"/>
      <c r="B40" s="25" t="s">
        <v>61</v>
      </c>
      <c r="C40" s="26">
        <v>148854.54500000001</v>
      </c>
      <c r="D40" s="40"/>
      <c r="E40" s="18">
        <f>C40-D40</f>
        <v>148854.54500000001</v>
      </c>
      <c r="F40" s="26">
        <v>89312.726999999999</v>
      </c>
      <c r="G40" s="40"/>
      <c r="H40" s="18">
        <f>F40-G40</f>
        <v>89312.726999999999</v>
      </c>
      <c r="I40" s="26">
        <f>128854.545-F40</f>
        <v>39541.817999999999</v>
      </c>
      <c r="J40" s="40"/>
      <c r="K40" s="18">
        <f t="shared" si="2"/>
        <v>39541.817999999999</v>
      </c>
      <c r="L40" s="26">
        <v>250993.54699999999</v>
      </c>
      <c r="M40" s="40"/>
      <c r="N40" s="18">
        <f t="shared" si="3"/>
        <v>250993.54699999999</v>
      </c>
      <c r="O40" s="26">
        <v>250993.54699999999</v>
      </c>
      <c r="P40" s="40"/>
      <c r="Q40" s="18">
        <f t="shared" si="4"/>
        <v>250993.54699999999</v>
      </c>
      <c r="R40" s="19">
        <f>Q40/E40</f>
        <v>1.6861664989805987</v>
      </c>
      <c r="S40" s="26">
        <v>62947.096149999998</v>
      </c>
      <c r="T40" s="40"/>
      <c r="U40" s="18">
        <f t="shared" si="5"/>
        <v>62947.096149999998</v>
      </c>
      <c r="V40" s="26">
        <v>70000</v>
      </c>
      <c r="W40" s="40"/>
      <c r="X40" s="18">
        <f t="shared" si="6"/>
        <v>70000</v>
      </c>
      <c r="Y40" s="26">
        <f>O40</f>
        <v>250993.54699999999</v>
      </c>
      <c r="Z40" s="40"/>
      <c r="AA40" s="18">
        <f t="shared" si="7"/>
        <v>250993.54699999999</v>
      </c>
      <c r="AB40" s="19">
        <f>AA40/E40</f>
        <v>1.6861664989805987</v>
      </c>
    </row>
    <row r="41" spans="1:28" x14ac:dyDescent="0.25">
      <c r="A41" s="24"/>
      <c r="B41" s="25" t="s">
        <v>62</v>
      </c>
      <c r="C41" s="26">
        <v>108972.36500000001</v>
      </c>
      <c r="D41" s="40"/>
      <c r="E41" s="18">
        <f t="shared" si="0"/>
        <v>108972.36500000001</v>
      </c>
      <c r="F41" s="26">
        <f>31561.757</f>
        <v>31561.757000000001</v>
      </c>
      <c r="G41" s="40"/>
      <c r="H41" s="18">
        <f t="shared" si="1"/>
        <v>31561.757000000001</v>
      </c>
      <c r="I41" s="26">
        <f>63123.514-F41</f>
        <v>31561.757000000001</v>
      </c>
      <c r="J41" s="40"/>
      <c r="K41" s="18">
        <f t="shared" si="2"/>
        <v>31561.757000000001</v>
      </c>
      <c r="L41" s="26">
        <v>72736.683000000005</v>
      </c>
      <c r="M41" s="40"/>
      <c r="N41" s="18">
        <f t="shared" si="3"/>
        <v>72736.683000000005</v>
      </c>
      <c r="O41" s="26">
        <v>92812.058999999994</v>
      </c>
      <c r="P41" s="40"/>
      <c r="Q41" s="18">
        <f t="shared" si="4"/>
        <v>92812.058999999994</v>
      </c>
      <c r="R41" s="19">
        <f t="shared" si="9"/>
        <v>0.85170271380271489</v>
      </c>
      <c r="S41" s="26">
        <v>12731.50735</v>
      </c>
      <c r="T41" s="40"/>
      <c r="U41" s="18">
        <f t="shared" si="5"/>
        <v>12731.50735</v>
      </c>
      <c r="V41" s="26">
        <v>0</v>
      </c>
      <c r="W41" s="40"/>
      <c r="X41" s="18">
        <f t="shared" si="6"/>
        <v>0</v>
      </c>
      <c r="Y41" s="26">
        <f>O41</f>
        <v>92812.058999999994</v>
      </c>
      <c r="Z41" s="40"/>
      <c r="AA41" s="18">
        <f t="shared" si="7"/>
        <v>92812.058999999994</v>
      </c>
      <c r="AB41" s="19">
        <f t="shared" si="8"/>
        <v>0.85170271380271489</v>
      </c>
    </row>
    <row r="42" spans="1:28" x14ac:dyDescent="0.25">
      <c r="A42" s="24"/>
      <c r="B42" s="25" t="s">
        <v>63</v>
      </c>
      <c r="C42" s="26">
        <v>0</v>
      </c>
      <c r="D42" s="40"/>
      <c r="E42" s="18">
        <f t="shared" si="0"/>
        <v>0</v>
      </c>
      <c r="F42" s="26"/>
      <c r="G42" s="40"/>
      <c r="H42" s="18">
        <f t="shared" si="1"/>
        <v>0</v>
      </c>
      <c r="I42" s="26"/>
      <c r="J42" s="40"/>
      <c r="K42" s="18">
        <f t="shared" si="2"/>
        <v>0</v>
      </c>
      <c r="L42" s="26"/>
      <c r="M42" s="40"/>
      <c r="N42" s="18">
        <f t="shared" si="3"/>
        <v>0</v>
      </c>
      <c r="O42" s="26"/>
      <c r="P42" s="40"/>
      <c r="Q42" s="18">
        <f t="shared" si="4"/>
        <v>0</v>
      </c>
      <c r="R42" s="19" t="e">
        <f t="shared" si="9"/>
        <v>#DIV/0!</v>
      </c>
      <c r="S42" s="26"/>
      <c r="T42" s="40"/>
      <c r="U42" s="18">
        <f t="shared" si="5"/>
        <v>0</v>
      </c>
      <c r="V42" s="26"/>
      <c r="W42" s="40"/>
      <c r="X42" s="18">
        <f t="shared" si="6"/>
        <v>0</v>
      </c>
      <c r="Y42" s="26"/>
      <c r="Z42" s="40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404101.34879999998</v>
      </c>
      <c r="D43" s="40">
        <f>C43</f>
        <v>404101.34879999998</v>
      </c>
      <c r="E43" s="18">
        <f t="shared" si="0"/>
        <v>0</v>
      </c>
      <c r="F43" s="26">
        <f>187171.50031</f>
        <v>187171.50031</v>
      </c>
      <c r="G43" s="40">
        <f>F43</f>
        <v>187171.50031</v>
      </c>
      <c r="H43" s="18">
        <f t="shared" si="1"/>
        <v>0</v>
      </c>
      <c r="I43" s="26">
        <f>243214.56717-F43</f>
        <v>56043.066859999992</v>
      </c>
      <c r="J43" s="40">
        <f t="shared" ref="J43:J47" si="25">I43</f>
        <v>56043.066859999992</v>
      </c>
      <c r="K43" s="18">
        <f t="shared" si="2"/>
        <v>0</v>
      </c>
      <c r="L43" s="26">
        <v>799179.27803000004</v>
      </c>
      <c r="M43" s="40">
        <f>L43</f>
        <v>799179.27803000004</v>
      </c>
      <c r="N43" s="18">
        <f>L43-M43</f>
        <v>0</v>
      </c>
      <c r="O43" s="26">
        <v>1126588.52012</v>
      </c>
      <c r="P43" s="40">
        <f>O43</f>
        <v>1126588.52012</v>
      </c>
      <c r="Q43" s="18">
        <f t="shared" si="4"/>
        <v>0</v>
      </c>
      <c r="R43" s="19" t="e">
        <f t="shared" si="9"/>
        <v>#DIV/0!</v>
      </c>
      <c r="S43" s="26">
        <v>374938.41411999997</v>
      </c>
      <c r="T43" s="40">
        <f>S43</f>
        <v>374938.41411999997</v>
      </c>
      <c r="U43" s="18">
        <f t="shared" si="5"/>
        <v>0</v>
      </c>
      <c r="V43" s="26">
        <v>148541.29999999999</v>
      </c>
      <c r="W43" s="40">
        <f>V43</f>
        <v>148541.29999999999</v>
      </c>
      <c r="X43" s="18">
        <f t="shared" si="6"/>
        <v>0</v>
      </c>
      <c r="Y43" s="26">
        <f>O43-993.34468+30182</f>
        <v>1155777.1754399999</v>
      </c>
      <c r="Z43" s="40">
        <f>Y43</f>
        <v>1155777.1754399999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32572.852350000001</v>
      </c>
      <c r="D44" s="40">
        <f t="shared" ref="D44:D49" si="26">C44</f>
        <v>32572.852350000001</v>
      </c>
      <c r="E44" s="18">
        <f t="shared" si="0"/>
        <v>0</v>
      </c>
      <c r="F44" s="26"/>
      <c r="G44" s="40"/>
      <c r="H44" s="18">
        <f t="shared" si="1"/>
        <v>0</v>
      </c>
      <c r="I44" s="26">
        <f>11190.3312-F440</f>
        <v>11190.331200000001</v>
      </c>
      <c r="J44" s="40">
        <f t="shared" si="25"/>
        <v>11190.331200000001</v>
      </c>
      <c r="K44" s="18">
        <f t="shared" si="2"/>
        <v>0</v>
      </c>
      <c r="L44" s="26">
        <v>401627.07714000001</v>
      </c>
      <c r="M44" s="40">
        <f t="shared" ref="M44:M49" si="27">L44</f>
        <v>401627.07714000001</v>
      </c>
      <c r="N44" s="18">
        <f t="shared" si="3"/>
        <v>0</v>
      </c>
      <c r="O44" s="26">
        <v>401311.54697999998</v>
      </c>
      <c r="P44" s="40">
        <f t="shared" ref="P44:P49" si="28">O44</f>
        <v>401311.54697999998</v>
      </c>
      <c r="Q44" s="18">
        <f t="shared" si="4"/>
        <v>0</v>
      </c>
      <c r="R44" s="19" t="e">
        <f t="shared" si="9"/>
        <v>#DIV/0!</v>
      </c>
      <c r="S44" s="26">
        <v>43597.04954</v>
      </c>
      <c r="T44" s="40">
        <f>S44</f>
        <v>43597.04954</v>
      </c>
      <c r="U44" s="18">
        <f t="shared" si="5"/>
        <v>0</v>
      </c>
      <c r="V44" s="26">
        <v>25412.3</v>
      </c>
      <c r="W44" s="40">
        <f>V44</f>
        <v>25412.3</v>
      </c>
      <c r="X44" s="18">
        <f t="shared" si="6"/>
        <v>0</v>
      </c>
      <c r="Y44" s="26">
        <f>O44-993.34468</f>
        <v>400318.2023</v>
      </c>
      <c r="Z44" s="40">
        <f t="shared" ref="Z44:Z47" si="29">Y44</f>
        <v>400318.2023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827959.98918999999</v>
      </c>
      <c r="D45" s="40">
        <f t="shared" si="26"/>
        <v>827959.98918999999</v>
      </c>
      <c r="E45" s="18">
        <f t="shared" si="0"/>
        <v>0</v>
      </c>
      <c r="F45" s="26">
        <f>576376.11141</f>
        <v>576376.11141000001</v>
      </c>
      <c r="G45" s="40">
        <f>F45</f>
        <v>576376.11141000001</v>
      </c>
      <c r="H45" s="18">
        <f t="shared" si="1"/>
        <v>0</v>
      </c>
      <c r="I45" s="26">
        <f>662532.49173-F45</f>
        <v>86156.380319999997</v>
      </c>
      <c r="J45" s="40">
        <f t="shared" si="25"/>
        <v>86156.380319999997</v>
      </c>
      <c r="K45" s="18">
        <f t="shared" si="2"/>
        <v>0</v>
      </c>
      <c r="L45" s="26">
        <v>878768.17168999999</v>
      </c>
      <c r="M45" s="40">
        <f t="shared" si="27"/>
        <v>878768.17168999999</v>
      </c>
      <c r="N45" s="18">
        <f t="shared" si="3"/>
        <v>0</v>
      </c>
      <c r="O45" s="26">
        <v>880156.44102999999</v>
      </c>
      <c r="P45" s="40">
        <f t="shared" si="28"/>
        <v>880156.44102999999</v>
      </c>
      <c r="Q45" s="18">
        <f t="shared" si="4"/>
        <v>0</v>
      </c>
      <c r="R45" s="19" t="e">
        <f t="shared" si="9"/>
        <v>#DIV/0!</v>
      </c>
      <c r="S45" s="26">
        <v>704282.53796999995</v>
      </c>
      <c r="T45" s="40">
        <f t="shared" ref="T45:T46" si="30">S45</f>
        <v>704282.53796999995</v>
      </c>
      <c r="U45" s="18">
        <f t="shared" si="5"/>
        <v>0</v>
      </c>
      <c r="V45" s="26">
        <v>43512.3</v>
      </c>
      <c r="W45" s="40">
        <f>V45</f>
        <v>43512.3</v>
      </c>
      <c r="X45" s="18">
        <f t="shared" si="6"/>
        <v>0</v>
      </c>
      <c r="Y45" s="26">
        <f t="shared" ref="Y45:Y47" si="31">O45</f>
        <v>880156.44102999999</v>
      </c>
      <c r="Z45" s="40">
        <f t="shared" si="29"/>
        <v>880156.44102999999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287924.26546000002</v>
      </c>
      <c r="D46" s="40">
        <f t="shared" si="26"/>
        <v>287924.26546000002</v>
      </c>
      <c r="E46" s="18">
        <f t="shared" si="0"/>
        <v>0</v>
      </c>
      <c r="F46" s="26">
        <f>98996.24542</f>
        <v>98996.245420000007</v>
      </c>
      <c r="G46" s="40">
        <f>F46</f>
        <v>98996.245420000007</v>
      </c>
      <c r="H46" s="18">
        <f t="shared" si="1"/>
        <v>0</v>
      </c>
      <c r="I46" s="26">
        <f>119346.33643-F46</f>
        <v>20350.091009999989</v>
      </c>
      <c r="J46" s="40">
        <f t="shared" si="25"/>
        <v>20350.091009999989</v>
      </c>
      <c r="K46" s="18">
        <f t="shared" si="2"/>
        <v>0</v>
      </c>
      <c r="L46" s="26">
        <v>193865.18789</v>
      </c>
      <c r="M46" s="40">
        <f t="shared" si="27"/>
        <v>193865.18789</v>
      </c>
      <c r="N46" s="18">
        <f t="shared" si="3"/>
        <v>0</v>
      </c>
      <c r="O46" s="26">
        <v>60824.35572</v>
      </c>
      <c r="P46" s="40">
        <f t="shared" si="28"/>
        <v>60824.35572</v>
      </c>
      <c r="Q46" s="18">
        <f t="shared" si="4"/>
        <v>0</v>
      </c>
      <c r="R46" s="19" t="e">
        <f t="shared" si="9"/>
        <v>#DIV/0!</v>
      </c>
      <c r="S46" s="26">
        <v>44044.741090000003</v>
      </c>
      <c r="T46" s="40">
        <f t="shared" si="30"/>
        <v>44044.741090000003</v>
      </c>
      <c r="U46" s="18">
        <f t="shared" si="5"/>
        <v>0</v>
      </c>
      <c r="V46" s="26">
        <v>2693.1</v>
      </c>
      <c r="W46" s="40">
        <f>V46</f>
        <v>2693.1</v>
      </c>
      <c r="X46" s="18">
        <f t="shared" si="6"/>
        <v>0</v>
      </c>
      <c r="Y46" s="26">
        <f t="shared" si="31"/>
        <v>60824.35572</v>
      </c>
      <c r="Z46" s="40">
        <f t="shared" si="29"/>
        <v>60824.35572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12485</v>
      </c>
      <c r="D47" s="40">
        <f t="shared" si="26"/>
        <v>12485</v>
      </c>
      <c r="E47" s="18">
        <f>C47-D47</f>
        <v>0</v>
      </c>
      <c r="F47" s="26">
        <v>12485</v>
      </c>
      <c r="G47" s="26">
        <f>F47</f>
        <v>12485</v>
      </c>
      <c r="H47" s="18">
        <f t="shared" si="1"/>
        <v>0</v>
      </c>
      <c r="I47" s="26">
        <f>12485-F47</f>
        <v>0</v>
      </c>
      <c r="J47" s="26">
        <f t="shared" si="25"/>
        <v>0</v>
      </c>
      <c r="K47" s="18">
        <f t="shared" si="2"/>
        <v>0</v>
      </c>
      <c r="L47" s="26">
        <v>0</v>
      </c>
      <c r="M47" s="40">
        <f t="shared" si="27"/>
        <v>0</v>
      </c>
      <c r="N47" s="18">
        <f t="shared" si="3"/>
        <v>0</v>
      </c>
      <c r="O47" s="26">
        <v>4455.1210000000001</v>
      </c>
      <c r="P47" s="40">
        <f t="shared" si="28"/>
        <v>4455.1210000000001</v>
      </c>
      <c r="Q47" s="18">
        <f t="shared" si="4"/>
        <v>0</v>
      </c>
      <c r="R47" s="19" t="e">
        <f t="shared" si="9"/>
        <v>#DIV/0!</v>
      </c>
      <c r="S47" s="26">
        <f>4455.121-0.001</f>
        <v>4455.12</v>
      </c>
      <c r="T47" s="26">
        <f>S47</f>
        <v>4455.12</v>
      </c>
      <c r="U47" s="18">
        <f t="shared" si="5"/>
        <v>0</v>
      </c>
      <c r="V47" s="26">
        <v>0</v>
      </c>
      <c r="W47" s="26">
        <v>0</v>
      </c>
      <c r="X47" s="18">
        <f t="shared" si="6"/>
        <v>0</v>
      </c>
      <c r="Y47" s="26">
        <f t="shared" si="31"/>
        <v>4455.1210000000001</v>
      </c>
      <c r="Z47" s="40">
        <f t="shared" si="29"/>
        <v>4455.1210000000001</v>
      </c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v>29.895350000000001</v>
      </c>
      <c r="D48" s="40">
        <v>0</v>
      </c>
      <c r="E48" s="18">
        <f>C48-D48</f>
        <v>29.895350000000001</v>
      </c>
      <c r="F48" s="26">
        <v>28.529499999999999</v>
      </c>
      <c r="G48" s="26"/>
      <c r="H48" s="18">
        <f t="shared" si="1"/>
        <v>28.529499999999999</v>
      </c>
      <c r="I48" s="26">
        <f>28.5295-F48</f>
        <v>0</v>
      </c>
      <c r="J48" s="26"/>
      <c r="K48" s="18">
        <f t="shared" si="2"/>
        <v>0</v>
      </c>
      <c r="L48" s="26">
        <v>0</v>
      </c>
      <c r="M48" s="40">
        <f t="shared" si="27"/>
        <v>0</v>
      </c>
      <c r="N48" s="18">
        <f t="shared" si="3"/>
        <v>0</v>
      </c>
      <c r="O48" s="26">
        <f t="shared" ref="O48:O49" si="32">L48</f>
        <v>0</v>
      </c>
      <c r="P48" s="40"/>
      <c r="Q48" s="18">
        <f t="shared" si="4"/>
        <v>0</v>
      </c>
      <c r="R48" s="19">
        <f t="shared" si="9"/>
        <v>0</v>
      </c>
      <c r="S48" s="26">
        <f>745.72358+2516.74249</f>
        <v>3262.4660699999999</v>
      </c>
      <c r="T48" s="26">
        <f>2472.34598+114.69274</f>
        <v>2587.03872</v>
      </c>
      <c r="U48" s="18">
        <f t="shared" si="5"/>
        <v>675.42734999999993</v>
      </c>
      <c r="V48" s="26">
        <v>0</v>
      </c>
      <c r="W48" s="26">
        <v>0</v>
      </c>
      <c r="X48" s="18">
        <f t="shared" si="6"/>
        <v>0</v>
      </c>
      <c r="Y48" s="26">
        <f>S48</f>
        <v>3262.4660699999999</v>
      </c>
      <c r="Z48" s="40">
        <f>T48</f>
        <v>2587.03872</v>
      </c>
      <c r="AA48" s="18">
        <f t="shared" si="7"/>
        <v>675.42734999999993</v>
      </c>
      <c r="AB48" s="19">
        <f t="shared" si="8"/>
        <v>22.593057114233481</v>
      </c>
    </row>
    <row r="49" spans="1:28" ht="39" x14ac:dyDescent="0.25">
      <c r="A49" s="24" t="s">
        <v>72</v>
      </c>
      <c r="B49" s="25" t="s">
        <v>73</v>
      </c>
      <c r="C49" s="26">
        <v>-344.67146000000002</v>
      </c>
      <c r="D49" s="40">
        <f t="shared" si="26"/>
        <v>-344.67146000000002</v>
      </c>
      <c r="E49" s="18">
        <f t="shared" si="0"/>
        <v>0</v>
      </c>
      <c r="F49" s="26">
        <f>-341.82239</f>
        <v>-341.82238999999998</v>
      </c>
      <c r="G49" s="26">
        <f>F49</f>
        <v>-341.82238999999998</v>
      </c>
      <c r="H49" s="18">
        <f t="shared" si="1"/>
        <v>0</v>
      </c>
      <c r="I49" s="26">
        <f>-341.82239-F49</f>
        <v>0</v>
      </c>
      <c r="J49" s="26">
        <f>-341.82239-G49</f>
        <v>0</v>
      </c>
      <c r="K49" s="18">
        <f t="shared" si="2"/>
        <v>0</v>
      </c>
      <c r="L49" s="26">
        <v>0</v>
      </c>
      <c r="M49" s="40">
        <f t="shared" si="27"/>
        <v>0</v>
      </c>
      <c r="N49" s="18">
        <f>L49-M49</f>
        <v>0</v>
      </c>
      <c r="O49" s="26">
        <f t="shared" si="32"/>
        <v>0</v>
      </c>
      <c r="P49" s="40">
        <f t="shared" si="28"/>
        <v>0</v>
      </c>
      <c r="Q49" s="18">
        <f t="shared" si="4"/>
        <v>0</v>
      </c>
      <c r="R49" s="19" t="e">
        <f t="shared" si="9"/>
        <v>#DIV/0!</v>
      </c>
      <c r="S49" s="26">
        <f>-4988.81077</f>
        <v>-4988.81077</v>
      </c>
      <c r="T49" s="26">
        <f>-4988.81077</f>
        <v>-4988.81077</v>
      </c>
      <c r="U49" s="18">
        <f t="shared" si="5"/>
        <v>0</v>
      </c>
      <c r="V49" s="26">
        <v>0</v>
      </c>
      <c r="W49" s="26">
        <v>0</v>
      </c>
      <c r="X49" s="18">
        <f t="shared" si="6"/>
        <v>0</v>
      </c>
      <c r="Y49" s="26">
        <f>S49</f>
        <v>-4988.81077</v>
      </c>
      <c r="Z49" s="40">
        <f>T49</f>
        <v>-4988.81077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1"/>
      <c r="B50" s="42" t="s">
        <v>74</v>
      </c>
      <c r="C50" s="18">
        <f>C6</f>
        <v>2654747.9537499999</v>
      </c>
      <c r="D50" s="18">
        <f>D6</f>
        <v>1533077.9284899996</v>
      </c>
      <c r="E50" s="18">
        <f>E6</f>
        <v>1121670.0252600003</v>
      </c>
      <c r="F50" s="18">
        <f>F6</f>
        <v>1586910.87494</v>
      </c>
      <c r="G50" s="18">
        <f t="shared" ref="G50:H50" si="33">G6</f>
        <v>875464.2763100001</v>
      </c>
      <c r="H50" s="18">
        <f t="shared" si="33"/>
        <v>711446.59862999991</v>
      </c>
      <c r="I50" s="18">
        <f>I6</f>
        <v>305933.17535999999</v>
      </c>
      <c r="J50" s="18">
        <f t="shared" ref="J50:K50" si="34">J6</f>
        <v>162717.15534999999</v>
      </c>
      <c r="K50" s="18">
        <f t="shared" si="34"/>
        <v>143216.02001000001</v>
      </c>
      <c r="L50" s="18">
        <f>L6</f>
        <v>3067542.8476100001</v>
      </c>
      <c r="M50" s="18">
        <f t="shared" ref="M50:N50" si="35">M6</f>
        <v>1871812.6376099999</v>
      </c>
      <c r="N50" s="18">
        <f t="shared" si="35"/>
        <v>1195730.2100000002</v>
      </c>
      <c r="O50" s="18">
        <f>O6</f>
        <v>3385603.0507799997</v>
      </c>
      <c r="P50" s="18">
        <f t="shared" ref="P50:Q50" si="36">P6</f>
        <v>2072875.01388</v>
      </c>
      <c r="Q50" s="18">
        <f t="shared" si="36"/>
        <v>1312728.0368999997</v>
      </c>
      <c r="R50" s="19">
        <f t="shared" si="9"/>
        <v>1.1703335270956472</v>
      </c>
      <c r="S50" s="18">
        <f>S6</f>
        <v>1938394.6105800001</v>
      </c>
      <c r="T50" s="18">
        <f t="shared" ref="T50:U50" si="37">T6</f>
        <v>1126671.8907699997</v>
      </c>
      <c r="U50" s="18">
        <f t="shared" si="37"/>
        <v>811722.71981000039</v>
      </c>
      <c r="V50" s="18">
        <f>V6</f>
        <v>327715.12202999997</v>
      </c>
      <c r="W50" s="18">
        <f t="shared" ref="W50:X50" si="38">W6</f>
        <v>194746.69999999998</v>
      </c>
      <c r="X50" s="18">
        <f t="shared" si="38"/>
        <v>132968.42202999999</v>
      </c>
      <c r="Y50" s="18">
        <f>Y6</f>
        <v>3413626.0264399997</v>
      </c>
      <c r="Z50" s="18">
        <f t="shared" ref="Z50:AA50" si="39">Z6</f>
        <v>2100164.1707799998</v>
      </c>
      <c r="AA50" s="18">
        <f t="shared" si="39"/>
        <v>1313461.8556599999</v>
      </c>
      <c r="AB50" s="19">
        <f t="shared" si="8"/>
        <v>1.1709877469138419</v>
      </c>
    </row>
    <row r="51" spans="1:28" x14ac:dyDescent="0.25">
      <c r="A51" s="43" t="s">
        <v>75</v>
      </c>
      <c r="B51" s="44" t="s">
        <v>76</v>
      </c>
      <c r="C51" s="45">
        <f>C52+C86</f>
        <v>2657311.2422799999</v>
      </c>
      <c r="D51" s="45">
        <f>D52+D86</f>
        <v>1530265.3523300001</v>
      </c>
      <c r="E51" s="46">
        <f>C51-D51</f>
        <v>1127045.8899499997</v>
      </c>
      <c r="F51" s="45">
        <f>F52+F86</f>
        <v>1588431.3710800002</v>
      </c>
      <c r="G51" s="45">
        <f>G52+G86</f>
        <v>868272.77498999995</v>
      </c>
      <c r="H51" s="46">
        <f>F51-G51</f>
        <v>720158.59609000024</v>
      </c>
      <c r="I51" s="45">
        <f>I52+I86</f>
        <v>179609.39298999996</v>
      </c>
      <c r="J51" s="45">
        <f>J52+J86</f>
        <v>94012.797590000002</v>
      </c>
      <c r="K51" s="46">
        <f>I51-J51</f>
        <v>85596.595399999962</v>
      </c>
      <c r="L51" s="45">
        <f>L52+L86</f>
        <v>3154742.84767</v>
      </c>
      <c r="M51" s="45">
        <f>M52+M86</f>
        <v>1871812.6376100001</v>
      </c>
      <c r="N51" s="46">
        <f>L51-M51</f>
        <v>1282930.21006</v>
      </c>
      <c r="O51" s="45">
        <f>O52+O86</f>
        <v>3499090.0529400003</v>
      </c>
      <c r="P51" s="45">
        <f>P52+P86</f>
        <v>2076937.6889899999</v>
      </c>
      <c r="Q51" s="46">
        <f>O51-P51</f>
        <v>1422152.3639500004</v>
      </c>
      <c r="R51" s="47">
        <f>Q51/E51</f>
        <v>1.2618406904559074</v>
      </c>
      <c r="S51" s="45">
        <f>S52+S86</f>
        <v>1949862.74477</v>
      </c>
      <c r="T51" s="45">
        <f>T52+T86</f>
        <v>1130821.72116</v>
      </c>
      <c r="U51" s="46">
        <f>S51-T51</f>
        <v>819041.02361000003</v>
      </c>
      <c r="V51" s="45">
        <f>V52+V86</f>
        <v>351942.69</v>
      </c>
      <c r="W51" s="45">
        <f>W52+W86</f>
        <v>194746.3</v>
      </c>
      <c r="X51" s="46">
        <f>V51-W51</f>
        <v>157196.39000000001</v>
      </c>
      <c r="Y51" s="45">
        <f>Y52+Y86</f>
        <v>3526171.7082600002</v>
      </c>
      <c r="Z51" s="45">
        <f>Z52+Z86</f>
        <v>2106126.3443100001</v>
      </c>
      <c r="AA51" s="46">
        <f>Y51-Z51</f>
        <v>1420045.3639500001</v>
      </c>
      <c r="AB51" s="47">
        <f t="shared" si="8"/>
        <v>1.2599712013616402</v>
      </c>
    </row>
    <row r="52" spans="1:28" x14ac:dyDescent="0.25">
      <c r="A52" s="48">
        <v>1</v>
      </c>
      <c r="B52" s="49" t="s">
        <v>77</v>
      </c>
      <c r="C52" s="50">
        <f>C53+C57+C62+C63+C64+C65+C79+C80</f>
        <v>2417729.07228</v>
      </c>
      <c r="D52" s="50">
        <f>D53+D57+D62+D63+D64+D65+D79+D80</f>
        <v>1457994.2102000001</v>
      </c>
      <c r="E52" s="39">
        <f>C52-D52</f>
        <v>959734.86207999988</v>
      </c>
      <c r="F52" s="50">
        <f>F53+F57+F62+F63+F64+F65+F79+F80</f>
        <v>1458283.1937600002</v>
      </c>
      <c r="G52" s="50">
        <f>G53+G57+G62+G63+G64+G65+G79+G80</f>
        <v>829471.98308999999</v>
      </c>
      <c r="H52" s="39">
        <f>F52-G52</f>
        <v>628811.21067000018</v>
      </c>
      <c r="I52" s="50">
        <f>I53+I57+I62+I63+I64+I65+I79+I80</f>
        <v>146316.14148999995</v>
      </c>
      <c r="J52" s="50">
        <f>J53+J57+J62+J63+J64+J65+J79+J80</f>
        <v>83522.831209999989</v>
      </c>
      <c r="K52" s="39">
        <f>I52-J52</f>
        <v>62793.310279999961</v>
      </c>
      <c r="L52" s="50">
        <f>L53+L57+L62+L63+L64+L65+L79+L80</f>
        <v>2874912.0382300001</v>
      </c>
      <c r="M52" s="50">
        <f>M53+M57+M62+M63+M64+M65+M79+M80</f>
        <v>1813138.09317</v>
      </c>
      <c r="N52" s="39">
        <f>L52-M52</f>
        <v>1061773.9450600001</v>
      </c>
      <c r="O52" s="50">
        <f>O53+O57+O62+O63+O64+O65+O79+O80</f>
        <v>2999451.4557000003</v>
      </c>
      <c r="P52" s="50">
        <f>P53+P57+P62+P63+P64+P65+P79+P80</f>
        <v>1827748.92227</v>
      </c>
      <c r="Q52" s="39">
        <f>O52-P52</f>
        <v>1171702.5334300003</v>
      </c>
      <c r="R52" s="51">
        <f>Q52/E52</f>
        <v>1.220860656130184</v>
      </c>
      <c r="S52" s="50">
        <f>S53+S57+S62+S63+S64+S65+S79+S80</f>
        <v>1694004.8125499999</v>
      </c>
      <c r="T52" s="50">
        <f>T53+T57+T62+T63+T64+T65+T79+T80</f>
        <v>1015937.3439</v>
      </c>
      <c r="U52" s="39">
        <f>S52-T52</f>
        <v>678067.46864999994</v>
      </c>
      <c r="V52" s="50">
        <f>V53+V57+V62+V63+V64+V65+V79+V80</f>
        <v>317472.8</v>
      </c>
      <c r="W52" s="50">
        <f>W53+W57+W62+W63+W64+W65+W79+W80</f>
        <v>176290</v>
      </c>
      <c r="X52" s="39">
        <f>V52-W52</f>
        <v>141182.79999999999</v>
      </c>
      <c r="Y52" s="50">
        <f>Y53+Y57+Y62+Y63+Y64+Y65+Y79+Y80</f>
        <v>3026533.1110200002</v>
      </c>
      <c r="Z52" s="50">
        <f>Z53+Z57+Z62+Z63+Z64+Z65+Z79+Z80</f>
        <v>1856937.5775899999</v>
      </c>
      <c r="AA52" s="39">
        <f>Y52-Z52</f>
        <v>1169595.5334300003</v>
      </c>
      <c r="AB52" s="51">
        <f t="shared" si="8"/>
        <v>1.2186652581267881</v>
      </c>
    </row>
    <row r="53" spans="1:28" ht="38.25" x14ac:dyDescent="0.25">
      <c r="A53" s="52" t="s">
        <v>13</v>
      </c>
      <c r="B53" s="32" t="s">
        <v>78</v>
      </c>
      <c r="C53" s="26">
        <v>131722.94954999999</v>
      </c>
      <c r="D53" s="26">
        <v>11002.301009999999</v>
      </c>
      <c r="E53" s="39">
        <f t="shared" si="0"/>
        <v>120720.64853999999</v>
      </c>
      <c r="F53" s="26">
        <f>62173.33872+700.28407+17498.52378</f>
        <v>80372.146569999997</v>
      </c>
      <c r="G53" s="26">
        <f>5342.16732+48.82775+1476.59761</f>
        <v>6867.5926799999997</v>
      </c>
      <c r="H53" s="39">
        <f t="shared" ref="H53:H104" si="40">F53-G53</f>
        <v>73504.553889999996</v>
      </c>
      <c r="I53" s="26">
        <f>71250.70477+779.74898+129.727+19642.21036-F53</f>
        <v>11430.24454</v>
      </c>
      <c r="J53" s="26">
        <f>6025.24545+97.07135+1691.73746-G53</f>
        <v>946.46158000000105</v>
      </c>
      <c r="K53" s="39">
        <f t="shared" ref="K53:K104" si="41">I53-J53</f>
        <v>10483.782959999999</v>
      </c>
      <c r="L53" s="26">
        <v>150242.31700000001</v>
      </c>
      <c r="M53" s="26">
        <v>13944.517</v>
      </c>
      <c r="N53" s="39">
        <f t="shared" ref="N53:N104" si="42">L53-M53</f>
        <v>136297.80000000002</v>
      </c>
      <c r="O53" s="26">
        <f>O55+O56+3387.8858+1029.9104</f>
        <v>164308.01152</v>
      </c>
      <c r="P53" s="26">
        <f>P55+P56+290</f>
        <v>14326.349410000001</v>
      </c>
      <c r="Q53" s="39">
        <f t="shared" ref="Q53:Q104" si="43">O53-P53</f>
        <v>149981.66211</v>
      </c>
      <c r="R53" s="51">
        <f>Q53/E53</f>
        <v>1.2423861528568956</v>
      </c>
      <c r="S53" s="26">
        <f>S55+S56+1546.50004+728.17129</f>
        <v>103825.37422</v>
      </c>
      <c r="T53" s="26">
        <f>T55+T56+0+121.78107</f>
        <v>9450.1148399999984</v>
      </c>
      <c r="U53" s="39">
        <f t="shared" ref="U53:U104" si="44">S53-T53</f>
        <v>94375.259380000003</v>
      </c>
      <c r="V53" s="26">
        <f>V55+V56+118.6</f>
        <v>14589.7</v>
      </c>
      <c r="W53" s="26">
        <f>W55+W56+41.2</f>
        <v>1229.3</v>
      </c>
      <c r="X53" s="39">
        <f t="shared" ref="X53:X104" si="45">V53-W53</f>
        <v>13360.400000000001</v>
      </c>
      <c r="Y53" s="26">
        <f>O53</f>
        <v>164308.01152</v>
      </c>
      <c r="Z53" s="26">
        <f>P53</f>
        <v>14326.349410000001</v>
      </c>
      <c r="AA53" s="39">
        <f t="shared" ref="AA53:AA104" si="46">Y53-Z53</f>
        <v>149981.66211</v>
      </c>
      <c r="AB53" s="51">
        <f t="shared" si="8"/>
        <v>1.2423861528568956</v>
      </c>
    </row>
    <row r="54" spans="1:28" x14ac:dyDescent="0.25">
      <c r="A54" s="52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1"/>
      <c r="S54" s="26"/>
      <c r="T54" s="26"/>
      <c r="U54" s="39"/>
      <c r="V54" s="26"/>
      <c r="W54" s="26"/>
      <c r="X54" s="39"/>
      <c r="Y54" s="26"/>
      <c r="Z54" s="26"/>
      <c r="AA54" s="39"/>
      <c r="AB54" s="51"/>
    </row>
    <row r="55" spans="1:28" ht="25.5" x14ac:dyDescent="0.25">
      <c r="A55" s="52"/>
      <c r="B55" s="32" t="s">
        <v>79</v>
      </c>
      <c r="C55" s="26">
        <v>101477.35416</v>
      </c>
      <c r="D55" s="26">
        <v>8305.4064099999996</v>
      </c>
      <c r="E55" s="39">
        <f t="shared" si="0"/>
        <v>93171.947750000007</v>
      </c>
      <c r="F55" s="26">
        <f>62173.33872</f>
        <v>62173.33872</v>
      </c>
      <c r="G55" s="26">
        <f>5342.16732</f>
        <v>5342.1673199999996</v>
      </c>
      <c r="H55" s="39">
        <f t="shared" si="40"/>
        <v>56831.171399999999</v>
      </c>
      <c r="I55" s="26">
        <f>71250.70477-F55</f>
        <v>9077.3660499999969</v>
      </c>
      <c r="J55" s="26">
        <f>60285.24545-G55</f>
        <v>54943.078130000002</v>
      </c>
      <c r="K55" s="39">
        <f t="shared" si="41"/>
        <v>-45865.712080000005</v>
      </c>
      <c r="L55" s="26">
        <v>112990.17616</v>
      </c>
      <c r="M55" s="26">
        <v>10488.721159999999</v>
      </c>
      <c r="N55" s="39">
        <f t="shared" si="42"/>
        <v>102501.455</v>
      </c>
      <c r="O55" s="26">
        <f>123721.84281</f>
        <v>123721.84281</v>
      </c>
      <c r="P55" s="26">
        <v>10905.788860000001</v>
      </c>
      <c r="Q55" s="39">
        <f t="shared" si="43"/>
        <v>112816.05395</v>
      </c>
      <c r="R55" s="51">
        <f t="shared" ref="R55:R78" si="47">Q55/E55</f>
        <v>1.2108371315013107</v>
      </c>
      <c r="S55" s="26">
        <f>79208.82205</f>
        <v>79208.822050000002</v>
      </c>
      <c r="T55" s="26">
        <v>7255.8853799999997</v>
      </c>
      <c r="U55" s="39">
        <f t="shared" si="44"/>
        <v>71952.936669999996</v>
      </c>
      <c r="V55" s="26">
        <v>11114.5</v>
      </c>
      <c r="W55" s="26">
        <v>912.5</v>
      </c>
      <c r="X55" s="39">
        <f t="shared" si="45"/>
        <v>10202</v>
      </c>
      <c r="Y55" s="26">
        <f t="shared" ref="Y55:Y59" si="48">O55</f>
        <v>123721.84281</v>
      </c>
      <c r="Z55" s="26">
        <f t="shared" ref="Z55:Z59" si="49">P55</f>
        <v>10905.788860000001</v>
      </c>
      <c r="AA55" s="39">
        <f t="shared" si="46"/>
        <v>112816.05395</v>
      </c>
      <c r="AB55" s="51">
        <f t="shared" si="8"/>
        <v>1.2108371315013107</v>
      </c>
    </row>
    <row r="56" spans="1:28" ht="25.5" x14ac:dyDescent="0.25">
      <c r="A56" s="52"/>
      <c r="B56" s="32" t="s">
        <v>80</v>
      </c>
      <c r="C56" s="26">
        <v>28898.586780000001</v>
      </c>
      <c r="D56" s="26">
        <v>2482.6888199999999</v>
      </c>
      <c r="E56" s="39">
        <f t="shared" si="0"/>
        <v>26415.897960000002</v>
      </c>
      <c r="F56" s="26">
        <f>17498.52378</f>
        <v>17498.52378</v>
      </c>
      <c r="G56" s="26">
        <f>1476.59761</f>
        <v>1476.59761</v>
      </c>
      <c r="H56" s="39">
        <f t="shared" si="40"/>
        <v>16021.926169999999</v>
      </c>
      <c r="I56" s="26">
        <f>19642.21036-F56</f>
        <v>2143.6865800000014</v>
      </c>
      <c r="J56" s="26">
        <f>1691.73746-G56</f>
        <v>215.13985000000002</v>
      </c>
      <c r="K56" s="39">
        <f t="shared" si="41"/>
        <v>1928.5467300000014</v>
      </c>
      <c r="L56" s="26">
        <v>33470.955840000002</v>
      </c>
      <c r="M56" s="26">
        <v>2809.41084</v>
      </c>
      <c r="N56" s="39">
        <f t="shared" si="42"/>
        <v>30661.545000000002</v>
      </c>
      <c r="O56" s="26">
        <f>36168.37251</f>
        <v>36168.372510000001</v>
      </c>
      <c r="P56" s="26">
        <v>3130.5605500000001</v>
      </c>
      <c r="Q56" s="39">
        <f t="shared" si="43"/>
        <v>33037.811959999999</v>
      </c>
      <c r="R56" s="51">
        <f t="shared" si="47"/>
        <v>1.2506791179322074</v>
      </c>
      <c r="S56" s="26">
        <f>22341.88084</f>
        <v>22341.880840000002</v>
      </c>
      <c r="T56" s="26">
        <v>2072.44839</v>
      </c>
      <c r="U56" s="39">
        <f t="shared" si="44"/>
        <v>20269.43245</v>
      </c>
      <c r="V56" s="26">
        <v>3356.6</v>
      </c>
      <c r="W56" s="26">
        <v>275.60000000000002</v>
      </c>
      <c r="X56" s="39">
        <f t="shared" si="45"/>
        <v>3081</v>
      </c>
      <c r="Y56" s="26">
        <f t="shared" si="48"/>
        <v>36168.372510000001</v>
      </c>
      <c r="Z56" s="26">
        <f t="shared" si="49"/>
        <v>3130.5605500000001</v>
      </c>
      <c r="AA56" s="39">
        <f t="shared" si="46"/>
        <v>33037.811959999999</v>
      </c>
      <c r="AB56" s="51">
        <f t="shared" si="8"/>
        <v>1.2506791179322074</v>
      </c>
    </row>
    <row r="57" spans="1:28" ht="25.5" x14ac:dyDescent="0.25">
      <c r="A57" s="52" t="s">
        <v>56</v>
      </c>
      <c r="B57" s="32" t="s">
        <v>81</v>
      </c>
      <c r="C57" s="26">
        <f>93408.84994</f>
        <v>93408.84994</v>
      </c>
      <c r="D57" s="53">
        <v>18804.48517</v>
      </c>
      <c r="E57" s="39">
        <f t="shared" si="0"/>
        <v>74604.36477</v>
      </c>
      <c r="F57" s="26">
        <f>49459.45267</f>
        <v>49459.452669999999</v>
      </c>
      <c r="G57" s="53">
        <f>5113.63582</f>
        <v>5113.6358200000004</v>
      </c>
      <c r="H57" s="39">
        <f t="shared" si="40"/>
        <v>44345.816849999996</v>
      </c>
      <c r="I57" s="26">
        <f>61963.90582-F57</f>
        <v>12504.453150000001</v>
      </c>
      <c r="J57" s="53">
        <f>7292.7775-G57</f>
        <v>2179.1416799999997</v>
      </c>
      <c r="K57" s="39">
        <f t="shared" si="41"/>
        <v>10325.311470000001</v>
      </c>
      <c r="L57" s="26">
        <v>137075.75669000001</v>
      </c>
      <c r="M57" s="53">
        <v>27439.80169</v>
      </c>
      <c r="N57" s="39">
        <f t="shared" si="42"/>
        <v>109635.95500000002</v>
      </c>
      <c r="O57" s="26">
        <f>559326.76678-O91</f>
        <v>172153.6495399999</v>
      </c>
      <c r="P57" s="53">
        <f>291657.49486-P91</f>
        <v>42468.728139999963</v>
      </c>
      <c r="Q57" s="39">
        <f t="shared" si="43"/>
        <v>129684.92139999993</v>
      </c>
      <c r="R57" s="51">
        <f t="shared" si="47"/>
        <v>1.7383020658350139</v>
      </c>
      <c r="S57" s="26">
        <f>266054.26903-S91</f>
        <v>78859.489030000055</v>
      </c>
      <c r="T57" s="53">
        <f>138847.07684-T91</f>
        <v>23962.69958</v>
      </c>
      <c r="U57" s="39">
        <f t="shared" si="44"/>
        <v>54896.789450000055</v>
      </c>
      <c r="V57" s="26">
        <v>51741.3</v>
      </c>
      <c r="W57" s="53">
        <v>7415.6</v>
      </c>
      <c r="X57" s="39">
        <f t="shared" si="45"/>
        <v>44325.700000000004</v>
      </c>
      <c r="Y57" s="26">
        <f>O57+100+8051+30182</f>
        <v>210486.6495399999</v>
      </c>
      <c r="Z57" s="26">
        <f>P57+30182</f>
        <v>72650.728139999963</v>
      </c>
      <c r="AA57" s="39">
        <f t="shared" si="46"/>
        <v>137835.92139999993</v>
      </c>
      <c r="AB57" s="51">
        <f t="shared" si="8"/>
        <v>1.8475584079421943</v>
      </c>
    </row>
    <row r="58" spans="1:28" x14ac:dyDescent="0.25">
      <c r="A58" s="54"/>
      <c r="B58" s="55" t="s">
        <v>7</v>
      </c>
      <c r="C58" s="35"/>
      <c r="D58" s="56"/>
      <c r="E58" s="57"/>
      <c r="F58" s="35"/>
      <c r="G58" s="56"/>
      <c r="H58" s="57"/>
      <c r="I58" s="35"/>
      <c r="J58" s="56"/>
      <c r="K58" s="57"/>
      <c r="L58" s="35"/>
      <c r="M58" s="56"/>
      <c r="N58" s="57"/>
      <c r="O58" s="35"/>
      <c r="P58" s="56"/>
      <c r="Q58" s="57"/>
      <c r="R58" s="58"/>
      <c r="S58" s="35"/>
      <c r="T58" s="56"/>
      <c r="U58" s="57"/>
      <c r="V58" s="35"/>
      <c r="W58" s="56"/>
      <c r="X58" s="57"/>
      <c r="Y58" s="26"/>
      <c r="Z58" s="26"/>
      <c r="AA58" s="57"/>
      <c r="AB58" s="58"/>
    </row>
    <row r="59" spans="1:28" ht="25.5" x14ac:dyDescent="0.25">
      <c r="A59" s="24"/>
      <c r="B59" s="32" t="s">
        <v>82</v>
      </c>
      <c r="C59" s="26">
        <f>28548.35828+0+0+0+0+3688.02875</f>
        <v>32236.387030000002</v>
      </c>
      <c r="D59" s="59">
        <f>0+475.22928</f>
        <v>475.22928000000002</v>
      </c>
      <c r="E59" s="39">
        <f t="shared" si="0"/>
        <v>31761.157750000002</v>
      </c>
      <c r="F59" s="26">
        <f>14204.102+2818.89991</f>
        <v>17023.001909999999</v>
      </c>
      <c r="G59" s="59">
        <f>232.69129</f>
        <v>232.69129000000001</v>
      </c>
      <c r="H59" s="39">
        <f t="shared" si="40"/>
        <v>16790.31062</v>
      </c>
      <c r="I59" s="26">
        <f>22389.978+3009.46284-F59</f>
        <v>8376.4389300000003</v>
      </c>
      <c r="J59" s="59">
        <f>383.64991-G59</f>
        <v>150.95861999999997</v>
      </c>
      <c r="K59" s="39">
        <f t="shared" ref="K59:K61" si="50">I59-J59</f>
        <v>8225.4803100000008</v>
      </c>
      <c r="L59" s="26">
        <v>31610.960950000001</v>
      </c>
      <c r="M59" s="59">
        <v>622.68271000000004</v>
      </c>
      <c r="N59" s="39">
        <f t="shared" ref="N59:N61" si="51">L59-M59</f>
        <v>30988.27824</v>
      </c>
      <c r="O59" s="26">
        <f>27034.394-1400+4082.55185</f>
        <v>29716.94585</v>
      </c>
      <c r="P59" s="59">
        <v>708.77286000000004</v>
      </c>
      <c r="Q59" s="39">
        <f t="shared" ref="Q59:Q61" si="52">O59-P59</f>
        <v>29008.172989999999</v>
      </c>
      <c r="R59" s="51">
        <f t="shared" si="47"/>
        <v>0.91332227931773036</v>
      </c>
      <c r="S59" s="26">
        <f>17832+2077.42428</f>
        <v>19909.424279999999</v>
      </c>
      <c r="T59" s="59">
        <v>402.79795000000001</v>
      </c>
      <c r="U59" s="39">
        <f t="shared" ref="U59:U61" si="53">S59-T59</f>
        <v>19506.626329999999</v>
      </c>
      <c r="V59" s="26">
        <f>1887+300</f>
        <v>2187</v>
      </c>
      <c r="W59" s="59">
        <v>100</v>
      </c>
      <c r="X59" s="39">
        <f t="shared" ref="X59:X61" si="54">V59-W59</f>
        <v>2087</v>
      </c>
      <c r="Y59" s="26">
        <f t="shared" si="48"/>
        <v>29716.94585</v>
      </c>
      <c r="Z59" s="26">
        <f t="shared" si="49"/>
        <v>708.77286000000004</v>
      </c>
      <c r="AA59" s="39">
        <f t="shared" ref="AA59:AA61" si="55">Y59-Z59</f>
        <v>29008.172989999999</v>
      </c>
      <c r="AB59" s="51">
        <f t="shared" si="8"/>
        <v>0.91332227931773036</v>
      </c>
    </row>
    <row r="60" spans="1:28" ht="25.5" x14ac:dyDescent="0.25">
      <c r="A60" s="24"/>
      <c r="B60" s="32" t="s">
        <v>83</v>
      </c>
      <c r="C60" s="26">
        <f>33324.62719+0+0+1.6+0+12264.33058</f>
        <v>45590.557769999999</v>
      </c>
      <c r="D60" s="59">
        <f>5770.7948</f>
        <v>5770.7947999999997</v>
      </c>
      <c r="E60" s="39">
        <f t="shared" si="0"/>
        <v>39819.762969999996</v>
      </c>
      <c r="F60" s="26">
        <f>11719.671+5972.59382</f>
        <v>17692.26482</v>
      </c>
      <c r="G60" s="59">
        <f>3042.379+47.91437</f>
        <v>3090.2933699999999</v>
      </c>
      <c r="H60" s="39">
        <f t="shared" si="40"/>
        <v>14601.971450000001</v>
      </c>
      <c r="I60" s="26">
        <f>23159.529+6041.93527-F60</f>
        <v>11509.199449999996</v>
      </c>
      <c r="J60" s="59">
        <f>4393.501+54.75928-G60</f>
        <v>1357.9669100000006</v>
      </c>
      <c r="K60" s="39">
        <f t="shared" si="50"/>
        <v>10151.232539999995</v>
      </c>
      <c r="L60" s="26">
        <v>184166.4903</v>
      </c>
      <c r="M60" s="59">
        <v>86</v>
      </c>
      <c r="N60" s="39">
        <f t="shared" si="51"/>
        <v>184080.4903</v>
      </c>
      <c r="O60" s="26">
        <f>55749+2630.54564</f>
        <v>58379.545639999997</v>
      </c>
      <c r="P60" s="59">
        <f>13886+102.67445</f>
        <v>13988.67445</v>
      </c>
      <c r="Q60" s="39">
        <f t="shared" si="52"/>
        <v>44390.871189999998</v>
      </c>
      <c r="R60" s="51">
        <f t="shared" si="47"/>
        <v>1.1147949630801131</v>
      </c>
      <c r="S60" s="26">
        <f>18211+1320.20047</f>
        <v>19531.20047</v>
      </c>
      <c r="T60" s="59">
        <f>3357+66.32928</f>
        <v>3423.3292799999999</v>
      </c>
      <c r="U60" s="39">
        <f t="shared" si="53"/>
        <v>16107.87119</v>
      </c>
      <c r="V60" s="26">
        <f>8618+10434+1896+15</f>
        <v>20963</v>
      </c>
      <c r="W60" s="59">
        <f>532+15</f>
        <v>547</v>
      </c>
      <c r="X60" s="39">
        <f t="shared" si="54"/>
        <v>20416</v>
      </c>
      <c r="Y60" s="26">
        <f t="shared" ref="Y60:Y65" si="56">O60</f>
        <v>58379.545639999997</v>
      </c>
      <c r="Z60" s="26">
        <f t="shared" ref="Z60:Z65" si="57">P60</f>
        <v>13988.67445</v>
      </c>
      <c r="AA60" s="39">
        <f t="shared" si="55"/>
        <v>44390.871189999998</v>
      </c>
      <c r="AB60" s="51">
        <f t="shared" si="8"/>
        <v>1.1147949630801131</v>
      </c>
    </row>
    <row r="61" spans="1:28" ht="25.5" x14ac:dyDescent="0.25">
      <c r="A61" s="24"/>
      <c r="B61" s="32" t="s">
        <v>84</v>
      </c>
      <c r="C61" s="26">
        <f>0+0+0+0+1.3+2951.77397</f>
        <v>2953.0739700000004</v>
      </c>
      <c r="D61" s="59">
        <f>1629.9</f>
        <v>1629.9</v>
      </c>
      <c r="E61" s="39">
        <f t="shared" si="0"/>
        <v>1323.1739700000003</v>
      </c>
      <c r="F61" s="26">
        <f>423.8+1.3</f>
        <v>425.1</v>
      </c>
      <c r="G61" s="59">
        <v>18.8</v>
      </c>
      <c r="H61" s="39">
        <f t="shared" si="40"/>
        <v>406.3</v>
      </c>
      <c r="I61" s="26">
        <f>1.3+2512.29897-F61</f>
        <v>2088.4989700000001</v>
      </c>
      <c r="J61" s="59">
        <f>1518.8-G61</f>
        <v>1500</v>
      </c>
      <c r="K61" s="39">
        <f t="shared" si="50"/>
        <v>588.4989700000001</v>
      </c>
      <c r="L61" s="26">
        <v>750</v>
      </c>
      <c r="M61" s="59"/>
      <c r="N61" s="39">
        <f t="shared" si="51"/>
        <v>750</v>
      </c>
      <c r="O61" s="26">
        <f>64532+1288.30109+1.3</f>
        <v>65821.601089999996</v>
      </c>
      <c r="P61" s="59">
        <f>22432+793.41555</f>
        <v>23225.415550000002</v>
      </c>
      <c r="Q61" s="39">
        <f t="shared" si="52"/>
        <v>42596.185539999991</v>
      </c>
      <c r="R61" s="51">
        <f t="shared" si="47"/>
        <v>32.192430100480273</v>
      </c>
      <c r="S61" s="26">
        <f>31414+544.47033+1.3</f>
        <v>31959.770329999999</v>
      </c>
      <c r="T61" s="59">
        <f>6900+8516+3508+518.88849</f>
        <v>19442.888490000001</v>
      </c>
      <c r="U61" s="39">
        <f t="shared" si="53"/>
        <v>12516.881839999998</v>
      </c>
      <c r="V61" s="26">
        <f>10238+15475+173.32</f>
        <v>25886.32</v>
      </c>
      <c r="W61" s="59">
        <f>164.654</f>
        <v>164.654</v>
      </c>
      <c r="X61" s="39">
        <f t="shared" si="54"/>
        <v>25721.666000000001</v>
      </c>
      <c r="Y61" s="26">
        <f t="shared" si="56"/>
        <v>65821.601089999996</v>
      </c>
      <c r="Z61" s="26">
        <f t="shared" si="57"/>
        <v>23225.415550000002</v>
      </c>
      <c r="AA61" s="39">
        <f t="shared" si="55"/>
        <v>42596.185539999991</v>
      </c>
      <c r="AB61" s="51">
        <f t="shared" si="8"/>
        <v>32.192430100480273</v>
      </c>
    </row>
    <row r="62" spans="1:28" ht="25.5" x14ac:dyDescent="0.25">
      <c r="A62" s="52" t="s">
        <v>85</v>
      </c>
      <c r="B62" s="32" t="s">
        <v>86</v>
      </c>
      <c r="C62" s="26">
        <v>55544.957950000004</v>
      </c>
      <c r="D62" s="53">
        <v>39676.815519999996</v>
      </c>
      <c r="E62" s="39">
        <f t="shared" si="0"/>
        <v>15868.142430000007</v>
      </c>
      <c r="F62" s="26">
        <f>43579.78217</f>
        <v>43579.782169999999</v>
      </c>
      <c r="G62" s="53">
        <f>29410.00134</f>
        <v>29410.001339999999</v>
      </c>
      <c r="H62" s="39">
        <f t="shared" si="40"/>
        <v>14169.78083</v>
      </c>
      <c r="I62" s="26">
        <f>47063.91963-F62</f>
        <v>3484.1374599999981</v>
      </c>
      <c r="J62" s="53">
        <f>32466.2484-G62</f>
        <v>3056.2470600000015</v>
      </c>
      <c r="K62" s="39">
        <f t="shared" si="41"/>
        <v>427.89039999999659</v>
      </c>
      <c r="L62" s="26">
        <v>54429.68</v>
      </c>
      <c r="M62" s="53">
        <v>49121.8</v>
      </c>
      <c r="N62" s="39">
        <f t="shared" si="42"/>
        <v>5307.8799999999974</v>
      </c>
      <c r="O62" s="26">
        <f>57787.50105-O96</f>
        <v>56461.501049999999</v>
      </c>
      <c r="P62" s="53">
        <f>49121.8-P96</f>
        <v>49121.8</v>
      </c>
      <c r="Q62" s="39">
        <f t="shared" si="43"/>
        <v>7339.701049999996</v>
      </c>
      <c r="R62" s="51">
        <f t="shared" si="47"/>
        <v>0.46254317935309791</v>
      </c>
      <c r="S62" s="26">
        <f>38475.91503-S96</f>
        <v>37490.763399999996</v>
      </c>
      <c r="T62" s="53">
        <f>33731.9415-T96</f>
        <v>33731.941500000001</v>
      </c>
      <c r="U62" s="39">
        <f t="shared" si="44"/>
        <v>3758.8218999999954</v>
      </c>
      <c r="V62" s="26">
        <v>5995.3</v>
      </c>
      <c r="W62" s="53">
        <v>5213.3</v>
      </c>
      <c r="X62" s="39">
        <f t="shared" si="45"/>
        <v>782</v>
      </c>
      <c r="Y62" s="26">
        <f t="shared" si="56"/>
        <v>56461.501049999999</v>
      </c>
      <c r="Z62" s="26">
        <f t="shared" si="57"/>
        <v>49121.8</v>
      </c>
      <c r="AA62" s="39">
        <f t="shared" si="46"/>
        <v>7339.701049999996</v>
      </c>
      <c r="AB62" s="51">
        <f t="shared" si="8"/>
        <v>0.46254317935309791</v>
      </c>
    </row>
    <row r="63" spans="1:28" ht="25.5" x14ac:dyDescent="0.25">
      <c r="A63" s="52" t="s">
        <v>87</v>
      </c>
      <c r="B63" s="32" t="s">
        <v>88</v>
      </c>
      <c r="C63" s="26">
        <v>135254.45000000001</v>
      </c>
      <c r="D63" s="59">
        <v>132942.08934999999</v>
      </c>
      <c r="E63" s="39">
        <f t="shared" si="0"/>
        <v>2312.3606500000169</v>
      </c>
      <c r="F63" s="26">
        <f>369.237</f>
        <v>369.23700000000002</v>
      </c>
      <c r="G63" s="59">
        <f>369.237</f>
        <v>369.23700000000002</v>
      </c>
      <c r="H63" s="39">
        <f t="shared" si="40"/>
        <v>0</v>
      </c>
      <c r="I63" s="26">
        <f>12148.533-F63</f>
        <v>11779.296</v>
      </c>
      <c r="J63" s="59">
        <f>11559.5682-G63</f>
        <v>11190.331200000001</v>
      </c>
      <c r="K63" s="39">
        <f t="shared" si="41"/>
        <v>588.96479999999974</v>
      </c>
      <c r="L63" s="26">
        <v>579528.58120000002</v>
      </c>
      <c r="M63" s="59">
        <v>558390.27714000002</v>
      </c>
      <c r="N63" s="39">
        <f t="shared" si="42"/>
        <v>21138.304059999995</v>
      </c>
      <c r="O63" s="26">
        <f>524742.80418-O97</f>
        <v>524742.80417999998</v>
      </c>
      <c r="P63" s="59">
        <f>499365.98247-P97</f>
        <v>499365.98246999999</v>
      </c>
      <c r="Q63" s="39">
        <f t="shared" si="43"/>
        <v>25376.821709999989</v>
      </c>
      <c r="R63" s="51">
        <f t="shared" si="47"/>
        <v>10.97442205220012</v>
      </c>
      <c r="S63" s="26">
        <f>43791.63108</f>
        <v>43791.631079999999</v>
      </c>
      <c r="T63" s="59">
        <f>41602.04954-T97</f>
        <v>41602.04954</v>
      </c>
      <c r="U63" s="39">
        <f t="shared" si="44"/>
        <v>2189.5815399999992</v>
      </c>
      <c r="V63" s="26">
        <v>48115.6</v>
      </c>
      <c r="W63" s="59">
        <v>25114.6</v>
      </c>
      <c r="X63" s="39">
        <f t="shared" si="45"/>
        <v>23001</v>
      </c>
      <c r="Y63" s="26">
        <f>O63-993.34468</f>
        <v>523749.4595</v>
      </c>
      <c r="Z63" s="26">
        <f>P63-993.34468</f>
        <v>498372.63779000001</v>
      </c>
      <c r="AA63" s="39">
        <f t="shared" si="46"/>
        <v>25376.821709999989</v>
      </c>
      <c r="AB63" s="51">
        <f t="shared" si="8"/>
        <v>10.97442205220012</v>
      </c>
    </row>
    <row r="64" spans="1:28" x14ac:dyDescent="0.25">
      <c r="A64" s="52" t="s">
        <v>89</v>
      </c>
      <c r="B64" s="32" t="s">
        <v>90</v>
      </c>
      <c r="C64" s="26"/>
      <c r="D64" s="59"/>
      <c r="E64" s="39">
        <f t="shared" si="0"/>
        <v>0</v>
      </c>
      <c r="F64" s="26"/>
      <c r="G64" s="59"/>
      <c r="H64" s="39">
        <f t="shared" si="40"/>
        <v>0</v>
      </c>
      <c r="I64" s="26"/>
      <c r="J64" s="59"/>
      <c r="K64" s="39">
        <f t="shared" si="41"/>
        <v>0</v>
      </c>
      <c r="L64" s="26"/>
      <c r="M64" s="59"/>
      <c r="N64" s="39">
        <f t="shared" si="42"/>
        <v>0</v>
      </c>
      <c r="O64" s="26"/>
      <c r="P64" s="59"/>
      <c r="Q64" s="39">
        <f t="shared" si="43"/>
        <v>0</v>
      </c>
      <c r="R64" s="51" t="e">
        <f t="shared" si="47"/>
        <v>#DIV/0!</v>
      </c>
      <c r="S64" s="26"/>
      <c r="T64" s="59"/>
      <c r="U64" s="39">
        <f t="shared" si="44"/>
        <v>0</v>
      </c>
      <c r="V64" s="26"/>
      <c r="W64" s="59"/>
      <c r="X64" s="39">
        <f t="shared" si="45"/>
        <v>0</v>
      </c>
      <c r="Y64" s="26"/>
      <c r="Z64" s="26"/>
      <c r="AA64" s="39">
        <f t="shared" si="46"/>
        <v>0</v>
      </c>
      <c r="AB64" s="51" t="e">
        <f t="shared" si="8"/>
        <v>#DIV/0!</v>
      </c>
    </row>
    <row r="65" spans="1:28" ht="38.25" x14ac:dyDescent="0.25">
      <c r="A65" s="52" t="s">
        <v>91</v>
      </c>
      <c r="B65" s="32" t="s">
        <v>92</v>
      </c>
      <c r="C65" s="26">
        <v>1989131.04012</v>
      </c>
      <c r="D65" s="59">
        <v>1253023.36791</v>
      </c>
      <c r="E65" s="39">
        <f t="shared" si="0"/>
        <v>736107.67220999999</v>
      </c>
      <c r="F65" s="26">
        <f>1276058.82101</f>
        <v>1276058.8210100001</v>
      </c>
      <c r="G65" s="59">
        <f>786817.23625</f>
        <v>786817.23624999996</v>
      </c>
      <c r="H65" s="39">
        <f t="shared" si="40"/>
        <v>489241.58476000011</v>
      </c>
      <c r="I65" s="26">
        <f>1382814.34351-F65</f>
        <v>106755.52249999996</v>
      </c>
      <c r="J65" s="59">
        <f>852965.38594-G65</f>
        <v>66148.149689999991</v>
      </c>
      <c r="K65" s="39">
        <f t="shared" si="41"/>
        <v>40607.372809999972</v>
      </c>
      <c r="L65" s="26">
        <v>1943407.70334</v>
      </c>
      <c r="M65" s="59">
        <v>1162407.69734</v>
      </c>
      <c r="N65" s="39">
        <f t="shared" si="42"/>
        <v>781000.00600000005</v>
      </c>
      <c r="O65" s="26">
        <v>2059469.8018799999</v>
      </c>
      <c r="P65" s="59">
        <v>1218897.6622500001</v>
      </c>
      <c r="Q65" s="39">
        <f t="shared" si="43"/>
        <v>840572.13962999987</v>
      </c>
      <c r="R65" s="51">
        <f t="shared" si="47"/>
        <v>1.1419146564610154</v>
      </c>
      <c r="S65" s="26">
        <v>1427111.223</v>
      </c>
      <c r="T65" s="59">
        <v>905436.18854999996</v>
      </c>
      <c r="U65" s="39">
        <f t="shared" si="44"/>
        <v>521675.03445000004</v>
      </c>
      <c r="V65" s="26">
        <f>194715.6</f>
        <v>194715.6</v>
      </c>
      <c r="W65" s="59">
        <f>-19134+176451.2-20000</f>
        <v>137317.20000000001</v>
      </c>
      <c r="X65" s="39">
        <f t="shared" si="45"/>
        <v>57398.399999999994</v>
      </c>
      <c r="Y65" s="26">
        <f t="shared" si="56"/>
        <v>2059469.8018799999</v>
      </c>
      <c r="Z65" s="26">
        <f t="shared" si="57"/>
        <v>1218897.6622500001</v>
      </c>
      <c r="AA65" s="39">
        <f t="shared" si="46"/>
        <v>840572.13962999987</v>
      </c>
      <c r="AB65" s="51">
        <f t="shared" si="8"/>
        <v>1.1419146564610154</v>
      </c>
    </row>
    <row r="66" spans="1:28" ht="51" x14ac:dyDescent="0.25">
      <c r="A66" s="52"/>
      <c r="B66" s="60" t="s">
        <v>93</v>
      </c>
      <c r="C66" s="61">
        <f>C67+C70+C71+C72+C73+C74</f>
        <v>1878316.3527299999</v>
      </c>
      <c r="D66" s="61">
        <f>D67+D70+D71+D72+D73+D74</f>
        <v>1213896.8482199998</v>
      </c>
      <c r="E66" s="62">
        <f t="shared" si="0"/>
        <v>664419.50451000012</v>
      </c>
      <c r="F66" s="63">
        <f>F67+F70+F71+F72+F73+F74</f>
        <v>1162409.2629200001</v>
      </c>
      <c r="G66" s="63">
        <f>G67+G70+G71+G72+G73+G74</f>
        <v>719856.179</v>
      </c>
      <c r="H66" s="62">
        <f t="shared" si="40"/>
        <v>442553.08392000012</v>
      </c>
      <c r="I66" s="63">
        <f>I67+I70+I71+I72+I73+I74</f>
        <v>252833.29604000002</v>
      </c>
      <c r="J66" s="63">
        <f>J67+J70+J71+J72+J73+J74</f>
        <v>117850.8681599999</v>
      </c>
      <c r="K66" s="62">
        <f t="shared" si="41"/>
        <v>134982.42788000012</v>
      </c>
      <c r="L66" s="63">
        <f>L67+L70+L71+L72+L73+L74</f>
        <v>2007565.0576200001</v>
      </c>
      <c r="M66" s="63">
        <f>M67+M70+M71+M72+M73+M74</f>
        <v>1184634.2659999998</v>
      </c>
      <c r="N66" s="62">
        <f t="shared" si="42"/>
        <v>822930.79162000027</v>
      </c>
      <c r="O66" s="63">
        <f>O67+O70+O71+O72+O73+O74</f>
        <v>2207596.1894700001</v>
      </c>
      <c r="P66" s="63">
        <f>P67+P70+P71+P72+P73+P74</f>
        <v>1305257.3562799999</v>
      </c>
      <c r="Q66" s="62">
        <f t="shared" si="43"/>
        <v>902338.83319000015</v>
      </c>
      <c r="R66" s="64">
        <f t="shared" si="47"/>
        <v>1.3580860090124267</v>
      </c>
      <c r="S66" s="63">
        <f>S67+S70+S71+S72+S73+S74</f>
        <v>1319571.7946899999</v>
      </c>
      <c r="T66" s="63">
        <f>T67+T70+T71+T72+T73+T74</f>
        <v>779334.13755999994</v>
      </c>
      <c r="U66" s="62">
        <f t="shared" si="44"/>
        <v>540237.65712999995</v>
      </c>
      <c r="V66" s="63">
        <f>V67+V70+V71+V72+V73+V74</f>
        <v>299685.59999999998</v>
      </c>
      <c r="W66" s="63">
        <f>W67+W70+W71+W72+W73+W74</f>
        <v>153837.29999999999</v>
      </c>
      <c r="X66" s="62">
        <f t="shared" si="45"/>
        <v>145848.29999999999</v>
      </c>
      <c r="Y66" s="63">
        <f>Y67+Y70+Y71+Y72+Y73+Y74</f>
        <v>2207596.1894700001</v>
      </c>
      <c r="Z66" s="63">
        <f>Z67+Z70+Z71+Z72+Z73+Z74</f>
        <v>1305257.3562799999</v>
      </c>
      <c r="AA66" s="62">
        <f t="shared" si="46"/>
        <v>902338.83319000015</v>
      </c>
      <c r="AB66" s="65">
        <f t="shared" si="8"/>
        <v>1.3580860090124267</v>
      </c>
    </row>
    <row r="67" spans="1:28" x14ac:dyDescent="0.25">
      <c r="A67" s="52" t="s">
        <v>94</v>
      </c>
      <c r="B67" s="66" t="s">
        <v>95</v>
      </c>
      <c r="C67" s="67">
        <f>43960.50582+1258976.92136</f>
        <v>1302937.4271800001</v>
      </c>
      <c r="D67" s="68">
        <f>911046.9+32010.9</f>
        <v>943057.8</v>
      </c>
      <c r="E67" s="69">
        <f t="shared" si="0"/>
        <v>359879.62718000007</v>
      </c>
      <c r="F67" s="67">
        <f>832874.1+36762.70729</f>
        <v>869636.80729000003</v>
      </c>
      <c r="G67" s="68">
        <f>582619.6+17918.175</f>
        <v>600537.77500000002</v>
      </c>
      <c r="H67" s="69">
        <f t="shared" si="40"/>
        <v>269099.03229</v>
      </c>
      <c r="I67" s="67">
        <f>40953.81484+981416.3-F67</f>
        <v>152733.30755000003</v>
      </c>
      <c r="J67" s="68">
        <f>18721.911+658488.1-G67</f>
        <v>76672.235999999917</v>
      </c>
      <c r="K67" s="69">
        <f t="shared" si="41"/>
        <v>76061.07155000011</v>
      </c>
      <c r="L67" s="67">
        <v>1381127.30654</v>
      </c>
      <c r="M67" s="68">
        <v>994558.94799999997</v>
      </c>
      <c r="N67" s="69">
        <f t="shared" si="42"/>
        <v>386568.35854000004</v>
      </c>
      <c r="O67" s="67">
        <f>1474984.10021</f>
        <v>1474984.1002100001</v>
      </c>
      <c r="P67" s="68">
        <f>35224+1040819.7</f>
        <v>1076043.7</v>
      </c>
      <c r="Q67" s="69">
        <f t="shared" si="43"/>
        <v>398940.40021000011</v>
      </c>
      <c r="R67" s="70">
        <f t="shared" si="47"/>
        <v>1.1085384391888988</v>
      </c>
      <c r="S67" s="67">
        <v>929897.80111</v>
      </c>
      <c r="T67" s="68">
        <f>24273.21726+631684.7</f>
        <v>655957.9172599999</v>
      </c>
      <c r="U67" s="69">
        <f t="shared" si="44"/>
        <v>273939.8838500001</v>
      </c>
      <c r="V67" s="67">
        <v>180415.3</v>
      </c>
      <c r="W67" s="68">
        <v>96415.2</v>
      </c>
      <c r="X67" s="69">
        <f t="shared" si="45"/>
        <v>84000.099999999991</v>
      </c>
      <c r="Y67" s="67">
        <f>O67</f>
        <v>1474984.1002100001</v>
      </c>
      <c r="Z67" s="68">
        <f>P67</f>
        <v>1076043.7</v>
      </c>
      <c r="AA67" s="69">
        <f t="shared" si="46"/>
        <v>398940.40021000011</v>
      </c>
      <c r="AB67" s="70">
        <f t="shared" si="8"/>
        <v>1.1085384391888988</v>
      </c>
    </row>
    <row r="68" spans="1:28" x14ac:dyDescent="0.25">
      <c r="A68" s="52"/>
      <c r="B68" s="66" t="s">
        <v>7</v>
      </c>
      <c r="C68" s="67"/>
      <c r="D68" s="68"/>
      <c r="E68" s="69"/>
      <c r="F68" s="67"/>
      <c r="G68" s="68"/>
      <c r="H68" s="69"/>
      <c r="I68" s="67"/>
      <c r="J68" s="68"/>
      <c r="K68" s="69"/>
      <c r="L68" s="67"/>
      <c r="M68" s="68"/>
      <c r="N68" s="69"/>
      <c r="O68" s="67"/>
      <c r="P68" s="68"/>
      <c r="Q68" s="69"/>
      <c r="R68" s="70"/>
      <c r="S68" s="67"/>
      <c r="T68" s="68"/>
      <c r="U68" s="69"/>
      <c r="V68" s="67"/>
      <c r="W68" s="68"/>
      <c r="X68" s="69"/>
      <c r="Y68" s="67">
        <f t="shared" ref="Y68:Y78" si="58">O68</f>
        <v>0</v>
      </c>
      <c r="Z68" s="68">
        <f t="shared" ref="Z68:Z78" si="59">P68</f>
        <v>0</v>
      </c>
      <c r="AA68" s="69"/>
      <c r="AB68" s="70"/>
    </row>
    <row r="69" spans="1:28" ht="25.5" x14ac:dyDescent="0.25">
      <c r="A69" s="52"/>
      <c r="B69" s="66" t="s">
        <v>96</v>
      </c>
      <c r="C69" s="67">
        <f>2892.541+866.2513+967350.31344+290372.00703</f>
        <v>1261481.11277</v>
      </c>
      <c r="D69" s="68">
        <f>888273.1+32010.9</f>
        <v>920284</v>
      </c>
      <c r="E69" s="69">
        <f>C69-D69</f>
        <v>341197.11277000001</v>
      </c>
      <c r="F69" s="67">
        <f>803353+36086.53635</f>
        <v>839439.53634999995</v>
      </c>
      <c r="G69" s="68">
        <f>566399.7+17918.175</f>
        <v>584317.875</v>
      </c>
      <c r="H69" s="69">
        <f>F69-G69</f>
        <v>255121.66134999995</v>
      </c>
      <c r="I69" s="67">
        <f>40205.5743+947142.4-F69</f>
        <v>147908.43795000005</v>
      </c>
      <c r="J69" s="68">
        <f>18721.911+642115.8-G69</f>
        <v>76519.83600000001</v>
      </c>
      <c r="K69" s="69">
        <f t="shared" si="41"/>
        <v>71388.60195000004</v>
      </c>
      <c r="L69" s="67">
        <v>1373722.84454</v>
      </c>
      <c r="M69" s="68">
        <v>991823.245</v>
      </c>
      <c r="N69" s="69">
        <f t="shared" si="42"/>
        <v>381899.59953999997</v>
      </c>
      <c r="O69" s="67">
        <v>1429240.9014099999</v>
      </c>
      <c r="P69" s="68">
        <f>35224+1015452.9</f>
        <v>1050676.8999999999</v>
      </c>
      <c r="Q69" s="69">
        <f t="shared" si="43"/>
        <v>378564.00141000003</v>
      </c>
      <c r="R69" s="70">
        <f t="shared" si="47"/>
        <v>1.1095170130152565</v>
      </c>
      <c r="S69" s="67">
        <f>42395.85107+861426.1</f>
        <v>903821.95106999995</v>
      </c>
      <c r="T69" s="68">
        <f>24273.21726+615887.5</f>
        <v>640160.71725999995</v>
      </c>
      <c r="U69" s="69">
        <f t="shared" si="44"/>
        <v>263661.23381000001</v>
      </c>
      <c r="V69" s="67">
        <v>178984.2</v>
      </c>
      <c r="W69" s="68">
        <v>94115.3</v>
      </c>
      <c r="X69" s="69">
        <f t="shared" si="45"/>
        <v>84868.900000000009</v>
      </c>
      <c r="Y69" s="67">
        <f t="shared" si="58"/>
        <v>1429240.9014099999</v>
      </c>
      <c r="Z69" s="68">
        <f t="shared" si="59"/>
        <v>1050676.8999999999</v>
      </c>
      <c r="AA69" s="69">
        <f t="shared" si="46"/>
        <v>378564.00141000003</v>
      </c>
      <c r="AB69" s="70">
        <f t="shared" si="8"/>
        <v>1.1095170130152565</v>
      </c>
    </row>
    <row r="70" spans="1:28" x14ac:dyDescent="0.25">
      <c r="A70" s="52" t="s">
        <v>97</v>
      </c>
      <c r="B70" s="66" t="s">
        <v>98</v>
      </c>
      <c r="C70" s="67">
        <f>1332.09327+2314.57585</f>
        <v>3646.6691200000005</v>
      </c>
      <c r="D70" s="68">
        <v>802.7</v>
      </c>
      <c r="E70" s="69">
        <f t="shared" ref="E70:E74" si="60">C70-D70</f>
        <v>2843.9691200000007</v>
      </c>
      <c r="F70" s="67">
        <f>2526.8</f>
        <v>2526.8000000000002</v>
      </c>
      <c r="G70" s="68">
        <f>479.94319</f>
        <v>479.94319000000002</v>
      </c>
      <c r="H70" s="69">
        <f t="shared" ref="H70:H78" si="61">F70-G70</f>
        <v>2046.8568100000002</v>
      </c>
      <c r="I70" s="67">
        <f>3617.8-F70</f>
        <v>1091</v>
      </c>
      <c r="J70" s="68">
        <f>568.6-G70</f>
        <v>88.656810000000007</v>
      </c>
      <c r="K70" s="69">
        <f t="shared" si="41"/>
        <v>1002.34319</v>
      </c>
      <c r="L70" s="67">
        <v>3646.7</v>
      </c>
      <c r="M70" s="68">
        <v>802.7</v>
      </c>
      <c r="N70" s="69">
        <f t="shared" si="42"/>
        <v>2844</v>
      </c>
      <c r="O70" s="67">
        <v>18034.983550000001</v>
      </c>
      <c r="P70" s="68">
        <v>16761.5</v>
      </c>
      <c r="Q70" s="69">
        <f t="shared" si="43"/>
        <v>1273.4835500000008</v>
      </c>
      <c r="R70" s="70">
        <f t="shared" si="47"/>
        <v>0.44778388803321484</v>
      </c>
      <c r="S70" s="67">
        <v>10001.78305</v>
      </c>
      <c r="T70" s="68">
        <v>9555.7999999999993</v>
      </c>
      <c r="U70" s="69">
        <f t="shared" si="44"/>
        <v>445.98305000000073</v>
      </c>
      <c r="V70" s="67">
        <v>2114.6</v>
      </c>
      <c r="W70" s="68">
        <v>2005.3</v>
      </c>
      <c r="X70" s="69">
        <f t="shared" si="45"/>
        <v>109.29999999999995</v>
      </c>
      <c r="Y70" s="67">
        <f t="shared" si="58"/>
        <v>18034.983550000001</v>
      </c>
      <c r="Z70" s="68">
        <f t="shared" si="59"/>
        <v>16761.5</v>
      </c>
      <c r="AA70" s="69">
        <f t="shared" si="46"/>
        <v>1273.4835500000008</v>
      </c>
      <c r="AB70" s="70">
        <f t="shared" si="8"/>
        <v>0.44778388803321484</v>
      </c>
    </row>
    <row r="71" spans="1:28" x14ac:dyDescent="0.25">
      <c r="A71" s="52" t="s">
        <v>99</v>
      </c>
      <c r="B71" s="66" t="s">
        <v>100</v>
      </c>
      <c r="C71" s="67">
        <f>19547.8959+267.85052</f>
        <v>19815.746419999999</v>
      </c>
      <c r="D71" s="68">
        <v>2.5</v>
      </c>
      <c r="E71" s="69">
        <f t="shared" si="60"/>
        <v>19813.246419999999</v>
      </c>
      <c r="F71" s="67">
        <f>10641.2+696.83287</f>
        <v>11338.032870000001</v>
      </c>
      <c r="G71" s="68">
        <f>0</f>
        <v>0</v>
      </c>
      <c r="H71" s="69">
        <f t="shared" si="61"/>
        <v>11338.032870000001</v>
      </c>
      <c r="I71" s="67">
        <f>921.76087+14439.4-F71</f>
        <v>4023.1279999999988</v>
      </c>
      <c r="J71" s="68"/>
      <c r="K71" s="69">
        <f t="shared" si="41"/>
        <v>4023.1279999999988</v>
      </c>
      <c r="L71" s="67">
        <v>19993.716</v>
      </c>
      <c r="M71" s="68">
        <v>2.5</v>
      </c>
      <c r="N71" s="69">
        <f t="shared" si="42"/>
        <v>19991.216</v>
      </c>
      <c r="O71" s="67">
        <v>18311.94716</v>
      </c>
      <c r="P71" s="68"/>
      <c r="Q71" s="69">
        <f t="shared" si="43"/>
        <v>18311.94716</v>
      </c>
      <c r="R71" s="70">
        <f t="shared" si="47"/>
        <v>0.92422749769646284</v>
      </c>
      <c r="S71" s="67">
        <v>9488.4584799999993</v>
      </c>
      <c r="T71" s="68"/>
      <c r="U71" s="69">
        <f t="shared" si="44"/>
        <v>9488.4584799999993</v>
      </c>
      <c r="V71" s="67">
        <v>6114.5</v>
      </c>
      <c r="W71" s="68"/>
      <c r="X71" s="69">
        <f t="shared" si="45"/>
        <v>6114.5</v>
      </c>
      <c r="Y71" s="67">
        <f t="shared" si="58"/>
        <v>18311.94716</v>
      </c>
      <c r="Z71" s="68">
        <f t="shared" si="59"/>
        <v>0</v>
      </c>
      <c r="AA71" s="69">
        <f t="shared" si="46"/>
        <v>18311.94716</v>
      </c>
      <c r="AB71" s="70">
        <f t="shared" si="8"/>
        <v>0.92422749769646284</v>
      </c>
    </row>
    <row r="72" spans="1:28" x14ac:dyDescent="0.25">
      <c r="A72" s="52" t="s">
        <v>101</v>
      </c>
      <c r="B72" s="66" t="s">
        <v>102</v>
      </c>
      <c r="C72" s="67"/>
      <c r="D72" s="68"/>
      <c r="E72" s="69">
        <f t="shared" si="60"/>
        <v>0</v>
      </c>
      <c r="F72" s="67"/>
      <c r="G72" s="68"/>
      <c r="H72" s="69">
        <f t="shared" si="61"/>
        <v>0</v>
      </c>
      <c r="I72" s="67"/>
      <c r="J72" s="68"/>
      <c r="K72" s="69">
        <f t="shared" si="41"/>
        <v>0</v>
      </c>
      <c r="L72" s="67"/>
      <c r="M72" s="68"/>
      <c r="N72" s="69">
        <f t="shared" si="42"/>
        <v>0</v>
      </c>
      <c r="O72" s="67"/>
      <c r="P72" s="68"/>
      <c r="Q72" s="69">
        <f t="shared" si="43"/>
        <v>0</v>
      </c>
      <c r="R72" s="70" t="e">
        <f t="shared" si="47"/>
        <v>#DIV/0!</v>
      </c>
      <c r="S72" s="67"/>
      <c r="T72" s="68"/>
      <c r="U72" s="69">
        <f t="shared" si="44"/>
        <v>0</v>
      </c>
      <c r="V72" s="67"/>
      <c r="W72" s="68"/>
      <c r="X72" s="69">
        <f t="shared" si="45"/>
        <v>0</v>
      </c>
      <c r="Y72" s="67">
        <f t="shared" si="58"/>
        <v>0</v>
      </c>
      <c r="Z72" s="68">
        <f t="shared" si="59"/>
        <v>0</v>
      </c>
      <c r="AA72" s="69">
        <f t="shared" si="46"/>
        <v>0</v>
      </c>
      <c r="AB72" s="70" t="e">
        <f t="shared" si="8"/>
        <v>#DIV/0!</v>
      </c>
    </row>
    <row r="73" spans="1:28" ht="25.5" x14ac:dyDescent="0.25">
      <c r="A73" s="52" t="s">
        <v>103</v>
      </c>
      <c r="B73" s="66" t="s">
        <v>104</v>
      </c>
      <c r="C73" s="67"/>
      <c r="D73" s="68"/>
      <c r="E73" s="69">
        <f t="shared" si="60"/>
        <v>0</v>
      </c>
      <c r="F73" s="67"/>
      <c r="G73" s="68"/>
      <c r="H73" s="69">
        <f t="shared" si="61"/>
        <v>0</v>
      </c>
      <c r="I73" s="67"/>
      <c r="J73" s="68"/>
      <c r="K73" s="69">
        <f t="shared" si="41"/>
        <v>0</v>
      </c>
      <c r="L73" s="67"/>
      <c r="M73" s="68"/>
      <c r="N73" s="69">
        <f t="shared" si="42"/>
        <v>0</v>
      </c>
      <c r="O73" s="67">
        <v>7000</v>
      </c>
      <c r="P73" s="68">
        <v>6650</v>
      </c>
      <c r="Q73" s="69">
        <f t="shared" si="43"/>
        <v>350</v>
      </c>
      <c r="R73" s="70" t="e">
        <f t="shared" si="47"/>
        <v>#DIV/0!</v>
      </c>
      <c r="S73" s="67">
        <v>2100</v>
      </c>
      <c r="T73" s="68">
        <v>1995</v>
      </c>
      <c r="U73" s="69">
        <f t="shared" si="44"/>
        <v>105</v>
      </c>
      <c r="V73" s="67">
        <v>1300</v>
      </c>
      <c r="W73" s="68">
        <v>1300</v>
      </c>
      <c r="X73" s="69">
        <f t="shared" si="45"/>
        <v>0</v>
      </c>
      <c r="Y73" s="67">
        <f t="shared" si="58"/>
        <v>7000</v>
      </c>
      <c r="Z73" s="68">
        <f t="shared" si="59"/>
        <v>6650</v>
      </c>
      <c r="AA73" s="69">
        <f t="shared" si="46"/>
        <v>350</v>
      </c>
      <c r="AB73" s="70" t="e">
        <f t="shared" si="8"/>
        <v>#DIV/0!</v>
      </c>
    </row>
    <row r="74" spans="1:28" x14ac:dyDescent="0.25">
      <c r="A74" s="52" t="s">
        <v>212</v>
      </c>
      <c r="B74" s="66" t="s">
        <v>105</v>
      </c>
      <c r="C74" s="67">
        <f>250919.67151+300996.8385</f>
        <v>551916.51000999997</v>
      </c>
      <c r="D74" s="68">
        <f>219153.3+50880.5482199999</f>
        <v>270033.84821999987</v>
      </c>
      <c r="E74" s="69">
        <f t="shared" si="60"/>
        <v>281882.6617900001</v>
      </c>
      <c r="F74" s="67">
        <f>238771.9+40135.72276</f>
        <v>278907.62276</v>
      </c>
      <c r="G74" s="68">
        <f>91468.8+27369.66081</f>
        <v>118838.46081</v>
      </c>
      <c r="H74" s="69">
        <f t="shared" si="61"/>
        <v>160069.16194999998</v>
      </c>
      <c r="I74" s="67">
        <f>47584.18325+326309.3-F74</f>
        <v>94985.860489999992</v>
      </c>
      <c r="J74" s="68">
        <f>33693.23616+126235.2-G74</f>
        <v>41089.975349999979</v>
      </c>
      <c r="K74" s="69">
        <f t="shared" si="41"/>
        <v>53895.885140000013</v>
      </c>
      <c r="L74" s="67">
        <v>602797.33507999999</v>
      </c>
      <c r="M74" s="68">
        <v>189270.11799999999</v>
      </c>
      <c r="N74" s="69">
        <f t="shared" si="42"/>
        <v>413527.21707999997</v>
      </c>
      <c r="O74" s="67">
        <v>689265.15855000005</v>
      </c>
      <c r="P74" s="68">
        <f>81928.95628+123873.2</f>
        <v>205802.15628</v>
      </c>
      <c r="Q74" s="69">
        <f t="shared" si="43"/>
        <v>483463.00227000006</v>
      </c>
      <c r="R74" s="70">
        <f t="shared" si="47"/>
        <v>1.7151214594041806</v>
      </c>
      <c r="S74" s="67">
        <v>368083.75205000001</v>
      </c>
      <c r="T74" s="68">
        <f>35864.6203+75960.8</f>
        <v>111825.4203</v>
      </c>
      <c r="U74" s="69">
        <f t="shared" si="44"/>
        <v>256258.33175000001</v>
      </c>
      <c r="V74" s="67">
        <v>109741.2</v>
      </c>
      <c r="W74" s="68">
        <v>54116.800000000003</v>
      </c>
      <c r="X74" s="69">
        <f t="shared" si="45"/>
        <v>55624.399999999994</v>
      </c>
      <c r="Y74" s="67">
        <f t="shared" si="58"/>
        <v>689265.15855000005</v>
      </c>
      <c r="Z74" s="68">
        <f t="shared" si="59"/>
        <v>205802.15628</v>
      </c>
      <c r="AA74" s="69">
        <f t="shared" si="46"/>
        <v>483463.00227000006</v>
      </c>
      <c r="AB74" s="70">
        <f t="shared" si="8"/>
        <v>1.7151214594041806</v>
      </c>
    </row>
    <row r="75" spans="1:28" x14ac:dyDescent="0.25">
      <c r="A75" s="52"/>
      <c r="B75" s="66" t="s">
        <v>7</v>
      </c>
      <c r="C75" s="67"/>
      <c r="D75" s="68"/>
      <c r="E75" s="69"/>
      <c r="F75" s="67"/>
      <c r="G75" s="68"/>
      <c r="H75" s="69"/>
      <c r="I75" s="67"/>
      <c r="J75" s="68"/>
      <c r="K75" s="69"/>
      <c r="L75" s="67"/>
      <c r="M75" s="68"/>
      <c r="N75" s="69"/>
      <c r="O75" s="67"/>
      <c r="P75" s="68"/>
      <c r="Q75" s="69"/>
      <c r="R75" s="70"/>
      <c r="S75" s="67"/>
      <c r="T75" s="68"/>
      <c r="U75" s="69"/>
      <c r="V75" s="67"/>
      <c r="W75" s="68"/>
      <c r="X75" s="69"/>
      <c r="Y75" s="67"/>
      <c r="Z75" s="68"/>
      <c r="AA75" s="69"/>
      <c r="AB75" s="70"/>
    </row>
    <row r="76" spans="1:28" ht="25.5" x14ac:dyDescent="0.25">
      <c r="A76" s="52"/>
      <c r="B76" s="66" t="s">
        <v>106</v>
      </c>
      <c r="C76" s="67">
        <f>116076.6+12860.85351</f>
        <v>128937.45351000001</v>
      </c>
      <c r="D76" s="68">
        <v>8000</v>
      </c>
      <c r="E76" s="69">
        <f t="shared" ref="E76:E78" si="62">C76-D76</f>
        <v>120937.45351000001</v>
      </c>
      <c r="F76" s="67">
        <f>78283.2+7571.40158</f>
        <v>85854.601580000002</v>
      </c>
      <c r="G76" s="68">
        <f>5750</f>
        <v>5750</v>
      </c>
      <c r="H76" s="69">
        <f t="shared" si="61"/>
        <v>80104.601580000002</v>
      </c>
      <c r="I76" s="67">
        <f>8523.17963+85180-F76</f>
        <v>7848.5780499999964</v>
      </c>
      <c r="J76" s="68">
        <f>5867.4-G76</f>
        <v>117.39999999999964</v>
      </c>
      <c r="K76" s="69">
        <f t="shared" ref="K76:K78" si="63">I76-J76</f>
        <v>7731.1780499999968</v>
      </c>
      <c r="L76" s="67">
        <v>37202.758260000002</v>
      </c>
      <c r="M76" s="68"/>
      <c r="N76" s="69">
        <f t="shared" ref="N76:N78" si="64">L76-M76</f>
        <v>37202.758260000002</v>
      </c>
      <c r="O76" s="67">
        <f>17389.14982+137173.4</f>
        <v>154562.54981999999</v>
      </c>
      <c r="P76" s="68"/>
      <c r="Q76" s="69">
        <f t="shared" ref="Q76:Q78" si="65">O76-P76</f>
        <v>154562.54981999999</v>
      </c>
      <c r="R76" s="70">
        <f t="shared" si="47"/>
        <v>1.2780370789535402</v>
      </c>
      <c r="S76" s="67">
        <f>7675.41074+78763.7</f>
        <v>86439.110740000004</v>
      </c>
      <c r="T76" s="68"/>
      <c r="U76" s="69">
        <f t="shared" ref="U76:U78" si="66">S76-T76</f>
        <v>86439.110740000004</v>
      </c>
      <c r="V76" s="67">
        <v>18415.3</v>
      </c>
      <c r="W76" s="68"/>
      <c r="X76" s="69">
        <f t="shared" ref="X76:X78" si="67">V76-W76</f>
        <v>18415.3</v>
      </c>
      <c r="Y76" s="67">
        <f t="shared" si="58"/>
        <v>154562.54981999999</v>
      </c>
      <c r="Z76" s="68">
        <f t="shared" si="59"/>
        <v>0</v>
      </c>
      <c r="AA76" s="69">
        <f t="shared" ref="AA76:AA78" si="68">Y76-Z76</f>
        <v>154562.54981999999</v>
      </c>
      <c r="AB76" s="70">
        <f t="shared" si="8"/>
        <v>1.2780370789535402</v>
      </c>
    </row>
    <row r="77" spans="1:28" ht="25.5" x14ac:dyDescent="0.25">
      <c r="A77" s="52"/>
      <c r="B77" s="66" t="s">
        <v>83</v>
      </c>
      <c r="C77" s="67">
        <f>196330+2274.58313</f>
        <v>198604.58313000001</v>
      </c>
      <c r="D77" s="68">
        <v>140447.79999999999</v>
      </c>
      <c r="E77" s="69">
        <f t="shared" si="62"/>
        <v>58156.783130000025</v>
      </c>
      <c r="F77" s="67">
        <f>69483.6+434.67658</f>
        <v>69918.276580000005</v>
      </c>
      <c r="G77" s="68">
        <v>47184</v>
      </c>
      <c r="H77" s="69">
        <f t="shared" si="61"/>
        <v>22734.276580000005</v>
      </c>
      <c r="I77" s="67">
        <f>527.13068+105623.3-F77</f>
        <v>36232.1541</v>
      </c>
      <c r="J77" s="68">
        <f>72583.6-G77</f>
        <v>25399.600000000006</v>
      </c>
      <c r="K77" s="69">
        <f t="shared" si="63"/>
        <v>10832.554099999994</v>
      </c>
      <c r="L77" s="67">
        <v>200256.08</v>
      </c>
      <c r="M77" s="68">
        <v>140447.79999999999</v>
      </c>
      <c r="N77" s="69">
        <f t="shared" si="64"/>
        <v>59808.28</v>
      </c>
      <c r="O77" s="67">
        <f>45764.54085+148285.8</f>
        <v>194050.34084999998</v>
      </c>
      <c r="P77" s="68">
        <f>38534.0621+39322.4</f>
        <v>77856.462100000004</v>
      </c>
      <c r="Q77" s="69">
        <f t="shared" si="65"/>
        <v>116193.87874999997</v>
      </c>
      <c r="R77" s="70">
        <f t="shared" si="47"/>
        <v>1.9979419853788589</v>
      </c>
      <c r="S77" s="67">
        <f>7310.34637+64303.4</f>
        <v>71613.746370000008</v>
      </c>
      <c r="T77" s="68">
        <f>6270.79404+23016.9</f>
        <v>29287.694040000002</v>
      </c>
      <c r="U77" s="69">
        <f t="shared" si="66"/>
        <v>42326.052330000006</v>
      </c>
      <c r="V77" s="67">
        <v>64115.199999999997</v>
      </c>
      <c r="W77" s="68">
        <v>35745.599999999999</v>
      </c>
      <c r="X77" s="69">
        <f t="shared" si="67"/>
        <v>28369.599999999999</v>
      </c>
      <c r="Y77" s="67">
        <f t="shared" si="58"/>
        <v>194050.34084999998</v>
      </c>
      <c r="Z77" s="68">
        <f t="shared" si="59"/>
        <v>77856.462100000004</v>
      </c>
      <c r="AA77" s="69">
        <f t="shared" si="68"/>
        <v>116193.87874999997</v>
      </c>
      <c r="AB77" s="70">
        <f t="shared" si="8"/>
        <v>1.9979419853788589</v>
      </c>
    </row>
    <row r="78" spans="1:28" ht="25.5" x14ac:dyDescent="0.25">
      <c r="A78" s="52"/>
      <c r="B78" s="66" t="s">
        <v>84</v>
      </c>
      <c r="C78" s="67">
        <f>40774.1+2165.0605</f>
        <v>42939.160499999998</v>
      </c>
      <c r="D78" s="68">
        <v>26445.4</v>
      </c>
      <c r="E78" s="69">
        <f t="shared" si="62"/>
        <v>16493.760499999997</v>
      </c>
      <c r="F78" s="67">
        <v>30503.8</v>
      </c>
      <c r="G78" s="68">
        <v>13651.7</v>
      </c>
      <c r="H78" s="69">
        <f t="shared" si="61"/>
        <v>16852.099999999999</v>
      </c>
      <c r="I78" s="67">
        <v>34829.300000000003</v>
      </c>
      <c r="J78" s="68">
        <f>17813.7-G78</f>
        <v>4162</v>
      </c>
      <c r="K78" s="69">
        <f t="shared" si="63"/>
        <v>30667.300000000003</v>
      </c>
      <c r="L78" s="67">
        <v>41286.90292</v>
      </c>
      <c r="M78" s="68">
        <v>26445.4</v>
      </c>
      <c r="N78" s="69">
        <f t="shared" si="64"/>
        <v>14841.502919999999</v>
      </c>
      <c r="O78" s="67">
        <f>8015.70949+90885.6</f>
        <v>98901.30949</v>
      </c>
      <c r="P78" s="68">
        <f>5282.6489+39643.2</f>
        <v>44925.848899999997</v>
      </c>
      <c r="Q78" s="69">
        <f t="shared" si="65"/>
        <v>53975.460590000002</v>
      </c>
      <c r="R78" s="70">
        <f t="shared" si="47"/>
        <v>3.2724775280931242</v>
      </c>
      <c r="S78" s="67">
        <f>1679.99192+37645.3</f>
        <v>39325.291920000003</v>
      </c>
      <c r="T78" s="68">
        <f>409.1274+29744.2</f>
        <v>30153.327400000002</v>
      </c>
      <c r="U78" s="69">
        <f t="shared" si="66"/>
        <v>9171.9645200000014</v>
      </c>
      <c r="V78" s="67">
        <v>11415.3</v>
      </c>
      <c r="W78" s="68">
        <v>9415.2000000000007</v>
      </c>
      <c r="X78" s="69">
        <f t="shared" si="67"/>
        <v>2000.0999999999985</v>
      </c>
      <c r="Y78" s="67">
        <f t="shared" si="58"/>
        <v>98901.30949</v>
      </c>
      <c r="Z78" s="68">
        <f t="shared" si="59"/>
        <v>44925.848899999997</v>
      </c>
      <c r="AA78" s="69">
        <f t="shared" si="68"/>
        <v>53975.460590000002</v>
      </c>
      <c r="AB78" s="70">
        <f t="shared" si="8"/>
        <v>3.2724775280931242</v>
      </c>
    </row>
    <row r="79" spans="1:28" ht="25.5" x14ac:dyDescent="0.25">
      <c r="A79" s="24" t="s">
        <v>107</v>
      </c>
      <c r="B79" s="32" t="s">
        <v>108</v>
      </c>
      <c r="C79" s="26">
        <v>117.99981</v>
      </c>
      <c r="D79" s="71"/>
      <c r="E79" s="39">
        <f t="shared" si="0"/>
        <v>117.99981</v>
      </c>
      <c r="F79" s="26">
        <v>0</v>
      </c>
      <c r="G79" s="71"/>
      <c r="H79" s="39">
        <f t="shared" si="40"/>
        <v>0</v>
      </c>
      <c r="I79" s="26">
        <v>0</v>
      </c>
      <c r="J79" s="71"/>
      <c r="K79" s="39">
        <f t="shared" si="41"/>
        <v>0</v>
      </c>
      <c r="L79" s="26">
        <v>219</v>
      </c>
      <c r="M79" s="71">
        <v>0</v>
      </c>
      <c r="N79" s="39">
        <f t="shared" si="42"/>
        <v>219</v>
      </c>
      <c r="O79" s="26">
        <v>219</v>
      </c>
      <c r="P79" s="71">
        <v>0</v>
      </c>
      <c r="Q79" s="39">
        <f t="shared" si="43"/>
        <v>219</v>
      </c>
      <c r="R79" s="51">
        <f>Q79/E79</f>
        <v>1.8559351917600546</v>
      </c>
      <c r="S79" s="26">
        <v>0</v>
      </c>
      <c r="T79" s="71">
        <v>0</v>
      </c>
      <c r="U79" s="39">
        <f t="shared" si="44"/>
        <v>0</v>
      </c>
      <c r="V79" s="26">
        <v>0</v>
      </c>
      <c r="W79" s="71"/>
      <c r="X79" s="39">
        <f t="shared" si="45"/>
        <v>0</v>
      </c>
      <c r="Y79" s="26">
        <f>O79</f>
        <v>219</v>
      </c>
      <c r="Z79" s="71">
        <f>P79</f>
        <v>0</v>
      </c>
      <c r="AA79" s="39">
        <f t="shared" si="46"/>
        <v>219</v>
      </c>
      <c r="AB79" s="51">
        <f t="shared" si="8"/>
        <v>1.8559351917600546</v>
      </c>
    </row>
    <row r="80" spans="1:28" ht="25.5" x14ac:dyDescent="0.25">
      <c r="A80" s="24" t="s">
        <v>109</v>
      </c>
      <c r="B80" s="32" t="s">
        <v>110</v>
      </c>
      <c r="C80" s="26">
        <f>C82+C83+C84+C85</f>
        <v>12548.824909999999</v>
      </c>
      <c r="D80" s="59">
        <f>D82+D83+D84+D85</f>
        <v>2545.1512400000001</v>
      </c>
      <c r="E80" s="39">
        <f t="shared" si="0"/>
        <v>10003.67367</v>
      </c>
      <c r="F80" s="26">
        <f>F82+F83+F84+F85</f>
        <v>8443.7543399999995</v>
      </c>
      <c r="G80" s="59">
        <f>G84</f>
        <v>894.28</v>
      </c>
      <c r="H80" s="39">
        <f t="shared" si="40"/>
        <v>7549.4743399999998</v>
      </c>
      <c r="I80" s="26">
        <f>I82+I83+I84+I85</f>
        <v>362.48783999999978</v>
      </c>
      <c r="J80" s="59">
        <f>J82+J83+J84+J85</f>
        <v>2.5</v>
      </c>
      <c r="K80" s="39">
        <f t="shared" si="41"/>
        <v>359.98783999999978</v>
      </c>
      <c r="L80" s="26">
        <v>10009</v>
      </c>
      <c r="M80" s="59">
        <v>1834</v>
      </c>
      <c r="N80" s="39">
        <f t="shared" si="42"/>
        <v>8175</v>
      </c>
      <c r="O80" s="26">
        <f>O82+O83+O84+O85+659.2</f>
        <v>22096.687529999999</v>
      </c>
      <c r="P80" s="26">
        <f>P82+P83+P84+P85</f>
        <v>3568.4</v>
      </c>
      <c r="Q80" s="39">
        <f t="shared" si="43"/>
        <v>18528.287529999998</v>
      </c>
      <c r="R80" s="51">
        <f t="shared" ref="R80:R103" si="69">Q80/E80</f>
        <v>1.852148334822681</v>
      </c>
      <c r="S80" s="26">
        <f>S82+S83+S84+S85+659.2</f>
        <v>2926.3318200000003</v>
      </c>
      <c r="T80" s="26">
        <f>T82+T83+T84+T85</f>
        <v>1754.34989</v>
      </c>
      <c r="U80" s="39">
        <f t="shared" si="44"/>
        <v>1171.9819300000004</v>
      </c>
      <c r="V80" s="26">
        <f>V82+V83+V84+V85</f>
        <v>2315.3000000000002</v>
      </c>
      <c r="W80" s="26">
        <f>W82+W83+W84+W85</f>
        <v>0</v>
      </c>
      <c r="X80" s="39">
        <f t="shared" si="45"/>
        <v>2315.3000000000002</v>
      </c>
      <c r="Y80" s="26">
        <f>O80-8051-100-2107</f>
        <v>11838.687529999999</v>
      </c>
      <c r="Z80" s="71">
        <f t="shared" ref="Z80:Z85" si="70">P80</f>
        <v>3568.4</v>
      </c>
      <c r="AA80" s="39">
        <f t="shared" si="46"/>
        <v>8270.2875299999996</v>
      </c>
      <c r="AB80" s="51">
        <f t="shared" si="8"/>
        <v>0.82672504150167858</v>
      </c>
    </row>
    <row r="81" spans="1:28" x14ac:dyDescent="0.25">
      <c r="A81" s="24"/>
      <c r="B81" s="32" t="s">
        <v>17</v>
      </c>
      <c r="C81" s="26"/>
      <c r="D81" s="59"/>
      <c r="E81" s="39"/>
      <c r="F81" s="26"/>
      <c r="G81" s="59"/>
      <c r="H81" s="39"/>
      <c r="I81" s="26"/>
      <c r="J81" s="59"/>
      <c r="K81" s="39"/>
      <c r="L81" s="26"/>
      <c r="M81" s="59"/>
      <c r="N81" s="39"/>
      <c r="O81" s="26"/>
      <c r="P81" s="59"/>
      <c r="Q81" s="39"/>
      <c r="R81" s="51"/>
      <c r="S81" s="26"/>
      <c r="T81" s="59"/>
      <c r="U81" s="39"/>
      <c r="V81" s="26"/>
      <c r="W81" s="59"/>
      <c r="X81" s="39"/>
      <c r="Y81" s="26">
        <f t="shared" ref="Y81:Y84" si="71">O81</f>
        <v>0</v>
      </c>
      <c r="Z81" s="71">
        <f t="shared" si="70"/>
        <v>0</v>
      </c>
      <c r="AA81" s="39"/>
      <c r="AB81" s="51"/>
    </row>
    <row r="82" spans="1:28" ht="76.5" x14ac:dyDescent="0.25">
      <c r="A82" s="24"/>
      <c r="B82" s="32" t="s">
        <v>111</v>
      </c>
      <c r="C82" s="26">
        <v>7880.4977600000002</v>
      </c>
      <c r="D82" s="59">
        <v>745.27124000000003</v>
      </c>
      <c r="E82" s="39">
        <f t="shared" si="0"/>
        <v>7135.2265200000002</v>
      </c>
      <c r="F82" s="26">
        <v>5073.9049999999997</v>
      </c>
      <c r="G82" s="59"/>
      <c r="H82" s="39">
        <f t="shared" si="40"/>
        <v>5073.9049999999997</v>
      </c>
      <c r="I82" s="26">
        <f>5073.905-F82</f>
        <v>0</v>
      </c>
      <c r="J82" s="59">
        <f>0-G82</f>
        <v>0</v>
      </c>
      <c r="K82" s="39">
        <f t="shared" si="41"/>
        <v>0</v>
      </c>
      <c r="L82" s="26">
        <v>100</v>
      </c>
      <c r="M82" s="59">
        <v>0</v>
      </c>
      <c r="N82" s="39">
        <f t="shared" si="42"/>
        <v>100</v>
      </c>
      <c r="O82" s="26">
        <f>39490.6-O101</f>
        <v>6834.3999999999978</v>
      </c>
      <c r="P82" s="59">
        <f>1734.4-P101</f>
        <v>1734.4</v>
      </c>
      <c r="Q82" s="39">
        <f t="shared" si="43"/>
        <v>5099.9999999999982</v>
      </c>
      <c r="R82" s="51">
        <f t="shared" si="69"/>
        <v>0.71476357277582236</v>
      </c>
      <c r="S82" s="26">
        <f>18870.37593-S101</f>
        <v>0</v>
      </c>
      <c r="T82" s="59">
        <v>0</v>
      </c>
      <c r="U82" s="39">
        <f t="shared" si="44"/>
        <v>0</v>
      </c>
      <c r="V82" s="26">
        <v>2215.3000000000002</v>
      </c>
      <c r="W82" s="59"/>
      <c r="X82" s="39">
        <f t="shared" si="45"/>
        <v>2215.3000000000002</v>
      </c>
      <c r="Y82" s="26">
        <f>O82</f>
        <v>6834.3999999999978</v>
      </c>
      <c r="Z82" s="71">
        <f t="shared" si="70"/>
        <v>1734.4</v>
      </c>
      <c r="AA82" s="39">
        <f t="shared" si="46"/>
        <v>5099.9999999999982</v>
      </c>
      <c r="AB82" s="51">
        <f t="shared" si="8"/>
        <v>0.71476357277582236</v>
      </c>
    </row>
    <row r="83" spans="1:28" ht="25.5" x14ac:dyDescent="0.25">
      <c r="A83" s="24"/>
      <c r="B83" s="32" t="s">
        <v>112</v>
      </c>
      <c r="C83" s="26">
        <v>2355.5427100000002</v>
      </c>
      <c r="D83" s="59">
        <v>0</v>
      </c>
      <c r="E83" s="39">
        <f t="shared" si="0"/>
        <v>2355.5427100000002</v>
      </c>
      <c r="F83" s="26">
        <f>2015.91455</f>
        <v>2015.91455</v>
      </c>
      <c r="G83" s="59"/>
      <c r="H83" s="39">
        <f t="shared" si="40"/>
        <v>2015.91455</v>
      </c>
      <c r="I83" s="26">
        <f>2323.15471-F83</f>
        <v>307.24015999999983</v>
      </c>
      <c r="J83" s="59"/>
      <c r="K83" s="39">
        <f t="shared" si="41"/>
        <v>307.24015999999983</v>
      </c>
      <c r="L83" s="26">
        <v>0</v>
      </c>
      <c r="M83" s="59">
        <v>0</v>
      </c>
      <c r="N83" s="39">
        <f t="shared" si="42"/>
        <v>0</v>
      </c>
      <c r="O83" s="26">
        <f>512.91145-O102</f>
        <v>362.91144999999995</v>
      </c>
      <c r="P83" s="59"/>
      <c r="Q83" s="39">
        <f t="shared" si="43"/>
        <v>362.91144999999995</v>
      </c>
      <c r="R83" s="51">
        <f t="shared" si="69"/>
        <v>0.15406702177775411</v>
      </c>
      <c r="S83" s="26">
        <f>458.97345-S102</f>
        <v>308.97345000000001</v>
      </c>
      <c r="T83" s="59"/>
      <c r="U83" s="39">
        <f t="shared" si="44"/>
        <v>308.97345000000001</v>
      </c>
      <c r="V83" s="26">
        <v>25</v>
      </c>
      <c r="W83" s="59"/>
      <c r="X83" s="39">
        <f t="shared" si="45"/>
        <v>25</v>
      </c>
      <c r="Y83" s="26">
        <f t="shared" si="71"/>
        <v>362.91144999999995</v>
      </c>
      <c r="Z83" s="71">
        <f t="shared" si="70"/>
        <v>0</v>
      </c>
      <c r="AA83" s="39">
        <f t="shared" si="46"/>
        <v>362.91144999999995</v>
      </c>
      <c r="AB83" s="51">
        <f t="shared" si="8"/>
        <v>0.15406702177775411</v>
      </c>
    </row>
    <row r="84" spans="1:28" ht="25.5" x14ac:dyDescent="0.25">
      <c r="A84" s="24"/>
      <c r="B84" s="32" t="s">
        <v>113</v>
      </c>
      <c r="C84" s="26">
        <v>2312.7844399999999</v>
      </c>
      <c r="D84" s="59">
        <v>1799.88</v>
      </c>
      <c r="E84" s="39">
        <f t="shared" si="0"/>
        <v>512.90443999999979</v>
      </c>
      <c r="F84" s="26">
        <f>1353.93479</f>
        <v>1353.93479</v>
      </c>
      <c r="G84" s="59">
        <v>894.28</v>
      </c>
      <c r="H84" s="39">
        <f t="shared" si="40"/>
        <v>459.65479000000005</v>
      </c>
      <c r="I84" s="26">
        <f>1409.18247-F84</f>
        <v>55.247679999999946</v>
      </c>
      <c r="J84" s="59">
        <f>896.78-G84</f>
        <v>2.5</v>
      </c>
      <c r="K84" s="39">
        <f t="shared" si="41"/>
        <v>52.747679999999946</v>
      </c>
      <c r="L84" s="26">
        <v>1909</v>
      </c>
      <c r="M84" s="59">
        <v>1834</v>
      </c>
      <c r="N84" s="39">
        <f t="shared" si="42"/>
        <v>75</v>
      </c>
      <c r="O84" s="26">
        <f>2700.50848-O103</f>
        <v>2037.8084799999999</v>
      </c>
      <c r="P84" s="59">
        <f>1834-P103</f>
        <v>1834</v>
      </c>
      <c r="Q84" s="39">
        <f t="shared" si="43"/>
        <v>203.80847999999992</v>
      </c>
      <c r="R84" s="51">
        <f t="shared" si="69"/>
        <v>0.39736150461087838</v>
      </c>
      <c r="S84" s="26">
        <f>2256.22428-S103</f>
        <v>1958.1583699999999</v>
      </c>
      <c r="T84" s="59">
        <f>1754.34989-T103</f>
        <v>1754.34989</v>
      </c>
      <c r="U84" s="39">
        <f t="shared" si="44"/>
        <v>203.80847999999992</v>
      </c>
      <c r="V84" s="26">
        <v>75</v>
      </c>
      <c r="W84" s="59"/>
      <c r="X84" s="39">
        <f t="shared" si="45"/>
        <v>75</v>
      </c>
      <c r="Y84" s="26">
        <f t="shared" si="71"/>
        <v>2037.8084799999999</v>
      </c>
      <c r="Z84" s="71">
        <f t="shared" si="70"/>
        <v>1834</v>
      </c>
      <c r="AA84" s="39">
        <f t="shared" si="46"/>
        <v>203.80847999999992</v>
      </c>
      <c r="AB84" s="51">
        <f t="shared" si="8"/>
        <v>0.39736150461087838</v>
      </c>
    </row>
    <row r="85" spans="1:28" x14ac:dyDescent="0.25">
      <c r="A85" s="24"/>
      <c r="B85" s="32" t="s">
        <v>114</v>
      </c>
      <c r="C85" s="26">
        <v>0</v>
      </c>
      <c r="D85" s="59">
        <v>0</v>
      </c>
      <c r="E85" s="39">
        <f t="shared" si="0"/>
        <v>0</v>
      </c>
      <c r="F85" s="26"/>
      <c r="G85" s="59"/>
      <c r="H85" s="39">
        <f t="shared" si="40"/>
        <v>0</v>
      </c>
      <c r="I85" s="26"/>
      <c r="J85" s="59"/>
      <c r="K85" s="39">
        <f t="shared" si="41"/>
        <v>0</v>
      </c>
      <c r="L85" s="26">
        <v>8000</v>
      </c>
      <c r="M85" s="59">
        <v>0</v>
      </c>
      <c r="N85" s="39">
        <f t="shared" si="42"/>
        <v>8000</v>
      </c>
      <c r="O85" s="26">
        <v>12202.3676</v>
      </c>
      <c r="P85" s="59"/>
      <c r="Q85" s="39">
        <f t="shared" si="43"/>
        <v>12202.3676</v>
      </c>
      <c r="R85" s="51" t="e">
        <f t="shared" si="69"/>
        <v>#DIV/0!</v>
      </c>
      <c r="S85" s="26"/>
      <c r="T85" s="59"/>
      <c r="U85" s="39">
        <f t="shared" si="44"/>
        <v>0</v>
      </c>
      <c r="V85" s="26"/>
      <c r="W85" s="59"/>
      <c r="X85" s="39">
        <f t="shared" si="45"/>
        <v>0</v>
      </c>
      <c r="Y85" s="26">
        <f>O85-8051-100-2107</f>
        <v>1944.3675999999996</v>
      </c>
      <c r="Z85" s="71">
        <f t="shared" si="70"/>
        <v>0</v>
      </c>
      <c r="AA85" s="39">
        <f t="shared" si="46"/>
        <v>1944.3675999999996</v>
      </c>
      <c r="AB85" s="51" t="e">
        <f t="shared" si="8"/>
        <v>#DIV/0!</v>
      </c>
    </row>
    <row r="86" spans="1:28" x14ac:dyDescent="0.25">
      <c r="A86" s="15" t="s">
        <v>115</v>
      </c>
      <c r="B86" s="72" t="s">
        <v>116</v>
      </c>
      <c r="C86" s="50">
        <f>C87+C91+C96+C97+C98+C99</f>
        <v>239582.17</v>
      </c>
      <c r="D86" s="50">
        <f>D87+D91+D96+D97+D98+D99</f>
        <v>72271.142129999993</v>
      </c>
      <c r="E86" s="39">
        <f t="shared" si="0"/>
        <v>167311.02787000002</v>
      </c>
      <c r="F86" s="50">
        <f>F87+F91+F96+F97+F98+F99</f>
        <v>130148.17731999999</v>
      </c>
      <c r="G86" s="50">
        <f>G87+G91+G96+G97+G98+G99</f>
        <v>38800.791899999997</v>
      </c>
      <c r="H86" s="39">
        <f t="shared" si="40"/>
        <v>91347.385419999991</v>
      </c>
      <c r="I86" s="50">
        <f>I87+I91+I96+I97+I98+I99</f>
        <v>33293.251500000013</v>
      </c>
      <c r="J86" s="50">
        <f>J87+J91+J96+J97+J98+J99</f>
        <v>10489.966380000005</v>
      </c>
      <c r="K86" s="39">
        <f t="shared" si="41"/>
        <v>22803.285120000008</v>
      </c>
      <c r="L86" s="50">
        <f>L87+L91+L96+L97+L98+L99</f>
        <v>279830.80943999998</v>
      </c>
      <c r="M86" s="50">
        <f>M87+M91+M96+M97+M98+M99</f>
        <v>58674.544439999998</v>
      </c>
      <c r="N86" s="39">
        <f t="shared" si="42"/>
        <v>221156.26499999998</v>
      </c>
      <c r="O86" s="50">
        <f>O87+O91+O96+O97+O98+O99</f>
        <v>499638.59724000003</v>
      </c>
      <c r="P86" s="50">
        <f>P87+P91+P96+P97+P98+P99</f>
        <v>249188.76672000001</v>
      </c>
      <c r="Q86" s="39">
        <f t="shared" si="43"/>
        <v>250449.83052000002</v>
      </c>
      <c r="R86" s="51">
        <f t="shared" si="69"/>
        <v>1.4969116722813902</v>
      </c>
      <c r="S86" s="50">
        <f>S87+S91+S96+S97+S98+S99</f>
        <v>255857.93222000002</v>
      </c>
      <c r="T86" s="50">
        <f>T87+T91+T96+T97+T98+T99</f>
        <v>114884.37725999999</v>
      </c>
      <c r="U86" s="39">
        <f t="shared" si="44"/>
        <v>140973.55496000004</v>
      </c>
      <c r="V86" s="50">
        <f>V87+V91+V96+V97+V98+V99</f>
        <v>34469.89</v>
      </c>
      <c r="W86" s="50">
        <f>W87+W91+W96+W97+W98+W99</f>
        <v>18456.3</v>
      </c>
      <c r="X86" s="39">
        <f t="shared" si="45"/>
        <v>16013.59</v>
      </c>
      <c r="Y86" s="50">
        <f>Y87+Y91+Y96+Y97+Y98+Y99</f>
        <v>499638.59724000003</v>
      </c>
      <c r="Z86" s="50">
        <f>Z87+Z91+Z96+Z97+Z98+Z99</f>
        <v>249188.76672000001</v>
      </c>
      <c r="AA86" s="39">
        <f t="shared" si="46"/>
        <v>250449.83052000002</v>
      </c>
      <c r="AB86" s="51">
        <f t="shared" si="8"/>
        <v>1.4969116722813902</v>
      </c>
    </row>
    <row r="87" spans="1:28" ht="38.25" x14ac:dyDescent="0.25">
      <c r="A87" s="24" t="s">
        <v>117</v>
      </c>
      <c r="B87" s="32" t="s">
        <v>118</v>
      </c>
      <c r="C87" s="26">
        <v>78780.784790000005</v>
      </c>
      <c r="D87" s="26">
        <v>0</v>
      </c>
      <c r="E87" s="39">
        <f>C87-D87</f>
        <v>78780.784790000005</v>
      </c>
      <c r="F87" s="26">
        <f>744.38208+39.635+2560.2861+22581.2492+476.23263+6345.13145+2184.3161+34.59875+586.22611+5184.63316+157.67353+1497.47905+2188.96502+0.42+633.28028+4698.40207+153.15148+1336.15105</f>
        <v>51402.213059999995</v>
      </c>
      <c r="G87" s="59"/>
      <c r="H87" s="39">
        <f t="shared" si="40"/>
        <v>51402.213059999995</v>
      </c>
      <c r="I87" s="26">
        <f>5336.7282+153.15148+1473.11934+28062.4745+520.06598+7812.44458+2188.96502+0.42+633.28028+5871.09605+160.65903+1646.49864+2869.74835+39.635+806.92484-F87</f>
        <v>6172.998230000012</v>
      </c>
      <c r="J87" s="59">
        <f>J89+J90</f>
        <v>0</v>
      </c>
      <c r="K87" s="39">
        <f t="shared" si="41"/>
        <v>6172.998230000012</v>
      </c>
      <c r="L87" s="26">
        <v>83582.899999999994</v>
      </c>
      <c r="M87" s="59">
        <v>0</v>
      </c>
      <c r="N87" s="39">
        <f t="shared" si="42"/>
        <v>83582.899999999994</v>
      </c>
      <c r="O87" s="26">
        <f>O89+O90+150+255+975+225.05728</f>
        <v>77670.579999999987</v>
      </c>
      <c r="P87" s="59">
        <f>P89+P90</f>
        <v>0</v>
      </c>
      <c r="Q87" s="39">
        <f t="shared" si="43"/>
        <v>77670.579999999987</v>
      </c>
      <c r="R87" s="51">
        <f t="shared" si="69"/>
        <v>0.98590767034170312</v>
      </c>
      <c r="S87" s="26">
        <f>S89+S90+96.84685+659.61753+201.75976+79.1169</f>
        <v>48359.558750000011</v>
      </c>
      <c r="T87" s="59">
        <f>T89+T90</f>
        <v>0</v>
      </c>
      <c r="U87" s="39">
        <f t="shared" si="44"/>
        <v>48359.558750000011</v>
      </c>
      <c r="V87" s="26">
        <f>V89+V90</f>
        <v>7041.49</v>
      </c>
      <c r="W87" s="59">
        <f>W89+W90</f>
        <v>0</v>
      </c>
      <c r="X87" s="39">
        <f t="shared" si="45"/>
        <v>7041.49</v>
      </c>
      <c r="Y87" s="26">
        <f>O87</f>
        <v>77670.579999999987</v>
      </c>
      <c r="Z87" s="59">
        <f>P87</f>
        <v>0</v>
      </c>
      <c r="AA87" s="39">
        <f t="shared" si="46"/>
        <v>77670.579999999987</v>
      </c>
      <c r="AB87" s="51">
        <f t="shared" si="8"/>
        <v>0.98590767034170312</v>
      </c>
    </row>
    <row r="88" spans="1:28" x14ac:dyDescent="0.25">
      <c r="A88" s="24"/>
      <c r="B88" s="32" t="s">
        <v>17</v>
      </c>
      <c r="C88" s="26"/>
      <c r="D88" s="59"/>
      <c r="E88" s="39"/>
      <c r="F88" s="26"/>
      <c r="G88" s="59"/>
      <c r="H88" s="39"/>
      <c r="I88" s="26"/>
      <c r="J88" s="59"/>
      <c r="K88" s="39"/>
      <c r="L88" s="26"/>
      <c r="M88" s="59"/>
      <c r="N88" s="39"/>
      <c r="O88" s="26"/>
      <c r="P88" s="59"/>
      <c r="Q88" s="39"/>
      <c r="R88" s="51"/>
      <c r="S88" s="26"/>
      <c r="T88" s="59"/>
      <c r="U88" s="39"/>
      <c r="V88" s="26"/>
      <c r="W88" s="59"/>
      <c r="X88" s="39"/>
      <c r="Y88" s="26"/>
      <c r="Z88" s="59"/>
      <c r="AA88" s="39"/>
      <c r="AB88" s="51"/>
    </row>
    <row r="89" spans="1:28" ht="25.5" x14ac:dyDescent="0.25">
      <c r="A89" s="24"/>
      <c r="B89" s="32" t="s">
        <v>119</v>
      </c>
      <c r="C89" s="26">
        <v>60104.27738</v>
      </c>
      <c r="D89" s="59"/>
      <c r="E89" s="39">
        <f>C89-D89</f>
        <v>60104.27738</v>
      </c>
      <c r="F89" s="26">
        <f>4698.40207+2188.96502+5184.63316+22581.2492+2184.3161+2560.2861</f>
        <v>39397.851649999997</v>
      </c>
      <c r="G89" s="59"/>
      <c r="H89" s="39">
        <f>F89-G89</f>
        <v>39397.851649999997</v>
      </c>
      <c r="I89" s="26">
        <f>5336.7282+28062.4745+2188.96502+5871.09605+2869.74835-F89</f>
        <v>4931.1604700000098</v>
      </c>
      <c r="J89" s="59"/>
      <c r="K89" s="39">
        <f t="shared" si="41"/>
        <v>4931.1604700000098</v>
      </c>
      <c r="L89" s="26">
        <v>62975.108260000001</v>
      </c>
      <c r="M89" s="59">
        <v>0</v>
      </c>
      <c r="N89" s="39">
        <f t="shared" si="42"/>
        <v>62975.108260000001</v>
      </c>
      <c r="O89" s="26">
        <f>6580.37075+34823.3748+8519.53271+8432.03</f>
        <v>58355.308259999998</v>
      </c>
      <c r="P89" s="59"/>
      <c r="Q89" s="39">
        <f t="shared" si="43"/>
        <v>58355.308259999998</v>
      </c>
      <c r="R89" s="51">
        <f t="shared" si="69"/>
        <v>0.97090108730627578</v>
      </c>
      <c r="S89" s="26">
        <f>4188.37858+21616.59242+5597.95069+5368.79284</f>
        <v>36771.714530000005</v>
      </c>
      <c r="T89" s="59"/>
      <c r="U89" s="39">
        <f t="shared" si="44"/>
        <v>36771.714530000005</v>
      </c>
      <c r="V89" s="26">
        <v>5408.2</v>
      </c>
      <c r="W89" s="59"/>
      <c r="X89" s="39">
        <f t="shared" si="45"/>
        <v>5408.2</v>
      </c>
      <c r="Y89" s="26">
        <f t="shared" ref="Y89:Y99" si="72">O89</f>
        <v>58355.308259999998</v>
      </c>
      <c r="Z89" s="59">
        <f t="shared" ref="Z89:Z99" si="73">P89</f>
        <v>0</v>
      </c>
      <c r="AA89" s="39">
        <f t="shared" si="46"/>
        <v>58355.308259999998</v>
      </c>
      <c r="AB89" s="51">
        <f t="shared" si="8"/>
        <v>0.97090108730627578</v>
      </c>
    </row>
    <row r="90" spans="1:28" ht="25.5" x14ac:dyDescent="0.25">
      <c r="A90" s="24"/>
      <c r="B90" s="32" t="s">
        <v>120</v>
      </c>
      <c r="C90" s="26">
        <v>17678.927029999999</v>
      </c>
      <c r="D90" s="59"/>
      <c r="E90" s="39">
        <f>C90-D90</f>
        <v>17678.927029999999</v>
      </c>
      <c r="F90" s="26">
        <f>744.38208+6345.13145+586.22611+1497.47905+633.28028+1336.15103</f>
        <v>11142.650000000001</v>
      </c>
      <c r="G90" s="59"/>
      <c r="H90" s="39">
        <f>F90-G90</f>
        <v>11142.650000000001</v>
      </c>
      <c r="I90" s="26">
        <f>1473.11934+7812.44458+633.28028+1646.49864+806.92484-F90</f>
        <v>1229.6176799999976</v>
      </c>
      <c r="J90" s="59"/>
      <c r="K90" s="39">
        <f t="shared" si="41"/>
        <v>1229.6176799999976</v>
      </c>
      <c r="L90" s="26">
        <v>19002.73446</v>
      </c>
      <c r="M90" s="59">
        <v>0</v>
      </c>
      <c r="N90" s="39">
        <f t="shared" si="42"/>
        <v>19002.73446</v>
      </c>
      <c r="O90" s="26">
        <f>1976.87197+10641.1052+2572.86729+2519.37</f>
        <v>17710.214459999999</v>
      </c>
      <c r="P90" s="59"/>
      <c r="Q90" s="39">
        <f t="shared" si="43"/>
        <v>17710.214459999999</v>
      </c>
      <c r="R90" s="51">
        <f t="shared" si="69"/>
        <v>1.0017697584218153</v>
      </c>
      <c r="S90" s="26">
        <f>1521.50957+1565.3554+6255.94+1207.69821</f>
        <v>10550.50318</v>
      </c>
      <c r="T90" s="59"/>
      <c r="U90" s="39">
        <f t="shared" si="44"/>
        <v>10550.50318</v>
      </c>
      <c r="V90" s="26">
        <v>1633.29</v>
      </c>
      <c r="W90" s="59"/>
      <c r="X90" s="39">
        <f t="shared" si="45"/>
        <v>1633.29</v>
      </c>
      <c r="Y90" s="26">
        <f t="shared" si="72"/>
        <v>17710.214459999999</v>
      </c>
      <c r="Z90" s="59">
        <f t="shared" si="73"/>
        <v>0</v>
      </c>
      <c r="AA90" s="39">
        <f t="shared" si="46"/>
        <v>17710.214459999999</v>
      </c>
      <c r="AB90" s="51">
        <f t="shared" si="8"/>
        <v>1.0017697584218153</v>
      </c>
    </row>
    <row r="91" spans="1:28" ht="25.5" x14ac:dyDescent="0.25">
      <c r="A91" s="24" t="s">
        <v>121</v>
      </c>
      <c r="B91" s="32" t="s">
        <v>122</v>
      </c>
      <c r="C91" s="26">
        <v>128389.45021</v>
      </c>
      <c r="D91" s="59">
        <v>72271.142129999993</v>
      </c>
      <c r="E91" s="39">
        <f t="shared" si="0"/>
        <v>56118.308080000003</v>
      </c>
      <c r="F91" s="26">
        <f>60719.83542</f>
        <v>60719.835420000003</v>
      </c>
      <c r="G91" s="59">
        <f>38800.7919</f>
        <v>38800.791899999997</v>
      </c>
      <c r="H91" s="39">
        <f>F91-G91</f>
        <v>21919.043520000007</v>
      </c>
      <c r="I91" s="26">
        <f>246.35+9910.41418+2118.26064+608.75897+73326.26506-F91</f>
        <v>25490.213430000003</v>
      </c>
      <c r="J91" s="59">
        <f>49290.75828-G91</f>
        <v>10489.966380000005</v>
      </c>
      <c r="K91" s="39">
        <f t="shared" si="41"/>
        <v>15000.247049999998</v>
      </c>
      <c r="L91" s="26">
        <v>166784.70944000001</v>
      </c>
      <c r="M91" s="59">
        <v>58507.644439999996</v>
      </c>
      <c r="N91" s="39">
        <f t="shared" si="42"/>
        <v>108277.065</v>
      </c>
      <c r="O91" s="26">
        <f>354100.86442+31874.34882+829.4+368.504</f>
        <v>387173.11724000005</v>
      </c>
      <c r="P91" s="59">
        <v>249188.76672000001</v>
      </c>
      <c r="Q91" s="39">
        <f t="shared" si="43"/>
        <v>137984.35052000004</v>
      </c>
      <c r="R91" s="51">
        <f t="shared" si="69"/>
        <v>2.4588116648722749</v>
      </c>
      <c r="S91" s="26">
        <f>173702.77618+12593.12011+678.09271+220.791</f>
        <v>187194.77999999997</v>
      </c>
      <c r="T91" s="59">
        <v>114884.37725999999</v>
      </c>
      <c r="U91" s="39">
        <f t="shared" si="44"/>
        <v>72310.402739999976</v>
      </c>
      <c r="V91" s="26">
        <v>26741.599999999999</v>
      </c>
      <c r="W91" s="59">
        <v>18456.3</v>
      </c>
      <c r="X91" s="39">
        <f t="shared" si="45"/>
        <v>8285.2999999999993</v>
      </c>
      <c r="Y91" s="26">
        <f t="shared" si="72"/>
        <v>387173.11724000005</v>
      </c>
      <c r="Z91" s="59">
        <f t="shared" si="73"/>
        <v>249188.76672000001</v>
      </c>
      <c r="AA91" s="39">
        <f t="shared" si="46"/>
        <v>137984.35052000004</v>
      </c>
      <c r="AB91" s="51">
        <f t="shared" si="8"/>
        <v>2.4588116648722749</v>
      </c>
    </row>
    <row r="92" spans="1:28" x14ac:dyDescent="0.25">
      <c r="A92" s="52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1"/>
      <c r="S92" s="26"/>
      <c r="T92" s="26"/>
      <c r="U92" s="39"/>
      <c r="V92" s="26"/>
      <c r="W92" s="26"/>
      <c r="X92" s="39"/>
      <c r="Y92" s="26"/>
      <c r="Z92" s="59"/>
      <c r="AA92" s="39"/>
      <c r="AB92" s="51"/>
    </row>
    <row r="93" spans="1:28" ht="21" customHeight="1" x14ac:dyDescent="0.25">
      <c r="A93" s="24"/>
      <c r="B93" s="32" t="s">
        <v>106</v>
      </c>
      <c r="C93" s="26">
        <f>5435.74357</f>
        <v>5435.7435699999996</v>
      </c>
      <c r="D93" s="59">
        <f>0</f>
        <v>0</v>
      </c>
      <c r="E93" s="39">
        <f t="shared" ref="E93:E95" si="74">C93-D93</f>
        <v>5435.7435699999996</v>
      </c>
      <c r="F93" s="26">
        <f>3206.763+613.16505</f>
        <v>3819.92805</v>
      </c>
      <c r="G93" s="59"/>
      <c r="H93" s="39">
        <f t="shared" si="40"/>
        <v>3819.92805</v>
      </c>
      <c r="I93" s="26">
        <f>613.16505+3502.95848-F93</f>
        <v>296.19547999999986</v>
      </c>
      <c r="J93" s="59"/>
      <c r="K93" s="39">
        <f t="shared" ref="K93:K95" si="75">I93-J93</f>
        <v>296.19547999999986</v>
      </c>
      <c r="L93" s="26">
        <v>5386.2</v>
      </c>
      <c r="M93" s="59">
        <v>0</v>
      </c>
      <c r="N93" s="39">
        <f t="shared" ref="N93:N95" si="76">L93-M93</f>
        <v>5386.2</v>
      </c>
      <c r="O93" s="26">
        <f>5</f>
        <v>5</v>
      </c>
      <c r="P93" s="59"/>
      <c r="Q93" s="39">
        <f t="shared" ref="Q93:Q95" si="77">O93-P93</f>
        <v>5</v>
      </c>
      <c r="R93" s="51"/>
      <c r="S93" s="26">
        <f>1.49894</f>
        <v>1.4989399999999999</v>
      </c>
      <c r="T93" s="59"/>
      <c r="U93" s="39">
        <f t="shared" ref="U93:U95" si="78">S93-T93</f>
        <v>1.4989399999999999</v>
      </c>
      <c r="V93" s="26"/>
      <c r="W93" s="59"/>
      <c r="X93" s="39">
        <f t="shared" ref="X93:X95" si="79">V93-W93</f>
        <v>0</v>
      </c>
      <c r="Y93" s="26">
        <f t="shared" si="72"/>
        <v>5</v>
      </c>
      <c r="Z93" s="59">
        <f t="shared" si="73"/>
        <v>0</v>
      </c>
      <c r="AA93" s="39">
        <f t="shared" ref="AA93:AA95" si="80">Y93-Z93</f>
        <v>5</v>
      </c>
      <c r="AB93" s="51"/>
    </row>
    <row r="94" spans="1:28" ht="25.5" x14ac:dyDescent="0.25">
      <c r="A94" s="24"/>
      <c r="B94" s="32" t="s">
        <v>83</v>
      </c>
      <c r="C94" s="26">
        <v>53667.806600000004</v>
      </c>
      <c r="D94" s="59">
        <f>28888.99251</f>
        <v>28888.99251</v>
      </c>
      <c r="E94" s="39">
        <f t="shared" si="74"/>
        <v>24778.814090000003</v>
      </c>
      <c r="F94" s="26">
        <f>753.808+23045.56494</f>
        <v>23799.372940000001</v>
      </c>
      <c r="G94" s="59">
        <f>19923.61603</f>
        <v>19923.616030000001</v>
      </c>
      <c r="H94" s="39">
        <f t="shared" si="40"/>
        <v>3875.7569100000001</v>
      </c>
      <c r="I94" s="26">
        <f>45433.19076+869.88259-F94</f>
        <v>22503.700409999998</v>
      </c>
      <c r="J94" s="59">
        <f>28888.99251-G94</f>
        <v>8965.376479999999</v>
      </c>
      <c r="K94" s="39">
        <f t="shared" si="75"/>
        <v>13538.323929999999</v>
      </c>
      <c r="L94" s="26">
        <v>126253.57313999999</v>
      </c>
      <c r="M94" s="59">
        <v>55540.707439999998</v>
      </c>
      <c r="N94" s="39">
        <f t="shared" si="76"/>
        <v>70712.865699999995</v>
      </c>
      <c r="O94" s="26">
        <f>222294.86058</f>
        <v>222294.86058000001</v>
      </c>
      <c r="P94" s="59">
        <f>151855.47584</f>
        <v>151855.47584</v>
      </c>
      <c r="Q94" s="39">
        <f t="shared" si="77"/>
        <v>70439.384740000009</v>
      </c>
      <c r="R94" s="51">
        <f t="shared" ref="R94:R95" si="81">Q94/E94</f>
        <v>2.842726229114704</v>
      </c>
      <c r="S94" s="26">
        <f>137032.0811</f>
        <v>137032.08110000001</v>
      </c>
      <c r="T94" s="59">
        <f>94017.64573</f>
        <v>94017.645730000004</v>
      </c>
      <c r="U94" s="39">
        <f t="shared" si="78"/>
        <v>43014.435370000007</v>
      </c>
      <c r="V94" s="26">
        <f>35000</f>
        <v>35000</v>
      </c>
      <c r="W94" s="59">
        <f>2598.96658+6245.31292+8999.35328+11102.19084</f>
        <v>28945.823619999999</v>
      </c>
      <c r="X94" s="39">
        <f t="shared" si="79"/>
        <v>6054.1763800000008</v>
      </c>
      <c r="Y94" s="26">
        <f t="shared" si="72"/>
        <v>222294.86058000001</v>
      </c>
      <c r="Z94" s="59">
        <f t="shared" si="73"/>
        <v>151855.47584</v>
      </c>
      <c r="AA94" s="39">
        <f t="shared" si="80"/>
        <v>70439.384740000009</v>
      </c>
      <c r="AB94" s="51">
        <f t="shared" ref="AB94:AB95" si="82">AA94/E94</f>
        <v>2.842726229114704</v>
      </c>
    </row>
    <row r="95" spans="1:28" ht="25.5" x14ac:dyDescent="0.25">
      <c r="A95" s="24"/>
      <c r="B95" s="32" t="s">
        <v>84</v>
      </c>
      <c r="C95" s="26">
        <f>6557.7969</f>
        <v>6557.7969000000003</v>
      </c>
      <c r="D95" s="59">
        <f>2503.94207</f>
        <v>2503.9420700000001</v>
      </c>
      <c r="E95" s="39">
        <f t="shared" si="74"/>
        <v>4053.8548300000002</v>
      </c>
      <c r="F95" s="26">
        <f>254.978+99.9</f>
        <v>354.87800000000004</v>
      </c>
      <c r="G95" s="59"/>
      <c r="H95" s="39">
        <f t="shared" si="40"/>
        <v>354.87800000000004</v>
      </c>
      <c r="I95" s="26">
        <f>269.46+254.978-F95</f>
        <v>169.55999999999995</v>
      </c>
      <c r="J95" s="59"/>
      <c r="K95" s="39">
        <f t="shared" si="75"/>
        <v>169.55999999999995</v>
      </c>
      <c r="L95" s="26">
        <v>7452.3</v>
      </c>
      <c r="M95" s="59">
        <v>0</v>
      </c>
      <c r="N95" s="39">
        <f t="shared" si="76"/>
        <v>7452.3</v>
      </c>
      <c r="O95" s="26">
        <f>6118.764</f>
        <v>6118.7640000000001</v>
      </c>
      <c r="P95" s="59"/>
      <c r="Q95" s="39">
        <f t="shared" si="77"/>
        <v>6118.7640000000001</v>
      </c>
      <c r="R95" s="51">
        <f t="shared" si="81"/>
        <v>1.5093692933251879</v>
      </c>
      <c r="S95" s="26">
        <v>1046.8</v>
      </c>
      <c r="T95" s="59"/>
      <c r="U95" s="39">
        <f t="shared" si="78"/>
        <v>1046.8</v>
      </c>
      <c r="V95" s="26">
        <f>42.5</f>
        <v>42.5</v>
      </c>
      <c r="W95" s="59"/>
      <c r="X95" s="39">
        <f t="shared" si="79"/>
        <v>42.5</v>
      </c>
      <c r="Y95" s="26">
        <f t="shared" si="72"/>
        <v>6118.7640000000001</v>
      </c>
      <c r="Z95" s="59">
        <f t="shared" si="73"/>
        <v>0</v>
      </c>
      <c r="AA95" s="39">
        <f t="shared" si="80"/>
        <v>6118.7640000000001</v>
      </c>
      <c r="AB95" s="51">
        <f t="shared" si="82"/>
        <v>1.5093692933251879</v>
      </c>
    </row>
    <row r="96" spans="1:28" ht="25.5" x14ac:dyDescent="0.25">
      <c r="A96" s="24" t="s">
        <v>123</v>
      </c>
      <c r="B96" s="32" t="s">
        <v>124</v>
      </c>
      <c r="C96" s="26">
        <v>402.9966</v>
      </c>
      <c r="D96" s="59">
        <v>0</v>
      </c>
      <c r="E96" s="39">
        <f t="shared" si="0"/>
        <v>402.9966</v>
      </c>
      <c r="F96" s="26">
        <f>402.9966</f>
        <v>402.9966</v>
      </c>
      <c r="G96" s="59"/>
      <c r="H96" s="39">
        <f t="shared" si="40"/>
        <v>402.9966</v>
      </c>
      <c r="I96" s="26">
        <f>381.0312+21.9654-F96</f>
        <v>0</v>
      </c>
      <c r="J96" s="59"/>
      <c r="K96" s="39">
        <f t="shared" si="41"/>
        <v>0</v>
      </c>
      <c r="L96" s="26">
        <v>50</v>
      </c>
      <c r="M96" s="59">
        <v>0</v>
      </c>
      <c r="N96" s="39">
        <f t="shared" si="42"/>
        <v>50</v>
      </c>
      <c r="O96" s="26">
        <f>250+1076</f>
        <v>1326</v>
      </c>
      <c r="P96" s="59"/>
      <c r="Q96" s="39">
        <f t="shared" si="43"/>
        <v>1326</v>
      </c>
      <c r="R96" s="51">
        <f t="shared" si="69"/>
        <v>3.2903503404247081</v>
      </c>
      <c r="S96" s="26">
        <f>16.1088+969.04283</f>
        <v>985.15162999999995</v>
      </c>
      <c r="T96" s="59"/>
      <c r="U96" s="39">
        <f t="shared" si="44"/>
        <v>985.15162999999995</v>
      </c>
      <c r="V96" s="26">
        <v>326.5</v>
      </c>
      <c r="W96" s="59"/>
      <c r="X96" s="39">
        <f t="shared" si="45"/>
        <v>326.5</v>
      </c>
      <c r="Y96" s="26">
        <f t="shared" si="72"/>
        <v>1326</v>
      </c>
      <c r="Z96" s="59">
        <f t="shared" si="73"/>
        <v>0</v>
      </c>
      <c r="AA96" s="39">
        <f t="shared" si="46"/>
        <v>1326</v>
      </c>
      <c r="AB96" s="51">
        <f t="shared" si="8"/>
        <v>3.2903503404247081</v>
      </c>
    </row>
    <row r="97" spans="1:28" ht="25.5" x14ac:dyDescent="0.25">
      <c r="A97" s="24" t="s">
        <v>125</v>
      </c>
      <c r="B97" s="32" t="s">
        <v>126</v>
      </c>
      <c r="C97" s="26">
        <v>2020.078</v>
      </c>
      <c r="D97" s="59">
        <v>0</v>
      </c>
      <c r="E97" s="39">
        <f t="shared" si="0"/>
        <v>2020.078</v>
      </c>
      <c r="F97" s="26">
        <v>2020.078</v>
      </c>
      <c r="G97" s="59"/>
      <c r="H97" s="39">
        <f t="shared" si="40"/>
        <v>2020.078</v>
      </c>
      <c r="I97" s="26">
        <f>2020.078-F97</f>
        <v>0</v>
      </c>
      <c r="J97" s="59"/>
      <c r="K97" s="39">
        <f t="shared" si="41"/>
        <v>0</v>
      </c>
      <c r="L97" s="26">
        <v>0</v>
      </c>
      <c r="M97" s="59">
        <v>0</v>
      </c>
      <c r="N97" s="39">
        <f t="shared" si="42"/>
        <v>0</v>
      </c>
      <c r="O97" s="26">
        <f>0</f>
        <v>0</v>
      </c>
      <c r="P97" s="59"/>
      <c r="Q97" s="39">
        <f t="shared" si="43"/>
        <v>0</v>
      </c>
      <c r="R97" s="51">
        <f t="shared" si="69"/>
        <v>0</v>
      </c>
      <c r="S97" s="26"/>
      <c r="T97" s="59"/>
      <c r="U97" s="39">
        <f t="shared" si="44"/>
        <v>0</v>
      </c>
      <c r="V97" s="26">
        <v>0</v>
      </c>
      <c r="W97" s="59"/>
      <c r="X97" s="39">
        <f t="shared" si="45"/>
        <v>0</v>
      </c>
      <c r="Y97" s="26"/>
      <c r="Z97" s="59"/>
      <c r="AA97" s="39">
        <f t="shared" si="46"/>
        <v>0</v>
      </c>
      <c r="AB97" s="51">
        <f t="shared" si="8"/>
        <v>0</v>
      </c>
    </row>
    <row r="98" spans="1:28" x14ac:dyDescent="0.25">
      <c r="A98" s="24" t="s">
        <v>127</v>
      </c>
      <c r="B98" s="32" t="s">
        <v>90</v>
      </c>
      <c r="C98" s="26"/>
      <c r="D98" s="59"/>
      <c r="E98" s="39">
        <f t="shared" si="0"/>
        <v>0</v>
      </c>
      <c r="F98" s="26"/>
      <c r="G98" s="59"/>
      <c r="H98" s="39">
        <f t="shared" si="40"/>
        <v>0</v>
      </c>
      <c r="I98" s="26"/>
      <c r="J98" s="59"/>
      <c r="K98" s="39">
        <f t="shared" si="41"/>
        <v>0</v>
      </c>
      <c r="L98" s="26"/>
      <c r="M98" s="59"/>
      <c r="N98" s="39">
        <f t="shared" si="42"/>
        <v>0</v>
      </c>
      <c r="O98" s="26"/>
      <c r="P98" s="59"/>
      <c r="Q98" s="39">
        <f t="shared" si="43"/>
        <v>0</v>
      </c>
      <c r="R98" s="51" t="e">
        <f t="shared" si="69"/>
        <v>#DIV/0!</v>
      </c>
      <c r="S98" s="26"/>
      <c r="T98" s="59"/>
      <c r="U98" s="39">
        <f t="shared" si="44"/>
        <v>0</v>
      </c>
      <c r="V98" s="26"/>
      <c r="W98" s="59"/>
      <c r="X98" s="39">
        <f t="shared" si="45"/>
        <v>0</v>
      </c>
      <c r="Y98" s="26"/>
      <c r="Z98" s="59"/>
      <c r="AA98" s="39">
        <f t="shared" si="46"/>
        <v>0</v>
      </c>
      <c r="AB98" s="51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29988.860400000001</v>
      </c>
      <c r="D99" s="71">
        <f>D101+D102+D103</f>
        <v>0</v>
      </c>
      <c r="E99" s="39">
        <f t="shared" si="0"/>
        <v>29988.860400000001</v>
      </c>
      <c r="F99" s="26">
        <f>F101+F102+F103</f>
        <v>15603.054239999999</v>
      </c>
      <c r="G99" s="71"/>
      <c r="H99" s="39">
        <f t="shared" si="40"/>
        <v>15603.054239999999</v>
      </c>
      <c r="I99" s="26">
        <f>I101+I102+I103</f>
        <v>1630.0398400000006</v>
      </c>
      <c r="J99" s="71"/>
      <c r="K99" s="39">
        <f t="shared" si="41"/>
        <v>1630.0398400000006</v>
      </c>
      <c r="L99" s="26">
        <v>29413.200000000001</v>
      </c>
      <c r="M99" s="71">
        <v>166.9</v>
      </c>
      <c r="N99" s="39">
        <f t="shared" si="42"/>
        <v>29246.3</v>
      </c>
      <c r="O99" s="26">
        <f>O101+O102+O103</f>
        <v>33468.899999999994</v>
      </c>
      <c r="P99" s="71">
        <f>P101+P102+P103</f>
        <v>0</v>
      </c>
      <c r="Q99" s="39">
        <f t="shared" si="43"/>
        <v>33468.899999999994</v>
      </c>
      <c r="R99" s="51">
        <f t="shared" si="69"/>
        <v>1.1160444096101763</v>
      </c>
      <c r="S99" s="26">
        <f>S101+S102+S103</f>
        <v>19318.44184</v>
      </c>
      <c r="T99" s="71"/>
      <c r="U99" s="39">
        <f t="shared" si="44"/>
        <v>19318.44184</v>
      </c>
      <c r="V99" s="26">
        <f>V101+V102+V103</f>
        <v>360.3</v>
      </c>
      <c r="W99" s="71"/>
      <c r="X99" s="39">
        <f t="shared" si="45"/>
        <v>360.3</v>
      </c>
      <c r="Y99" s="26">
        <f t="shared" si="72"/>
        <v>33468.899999999994</v>
      </c>
      <c r="Z99" s="59">
        <f t="shared" si="73"/>
        <v>0</v>
      </c>
      <c r="AA99" s="39">
        <f t="shared" si="46"/>
        <v>33468.899999999994</v>
      </c>
      <c r="AB99" s="51">
        <f t="shared" si="8"/>
        <v>1.1160444096101763</v>
      </c>
    </row>
    <row r="100" spans="1:28" x14ac:dyDescent="0.25">
      <c r="A100" s="24"/>
      <c r="B100" s="32" t="s">
        <v>17</v>
      </c>
      <c r="C100" s="26"/>
      <c r="D100" s="71"/>
      <c r="E100" s="39"/>
      <c r="F100" s="26"/>
      <c r="G100" s="71"/>
      <c r="H100" s="39"/>
      <c r="I100" s="26"/>
      <c r="J100" s="71"/>
      <c r="K100" s="39"/>
      <c r="L100" s="26"/>
      <c r="M100" s="71"/>
      <c r="N100" s="39"/>
      <c r="O100" s="26"/>
      <c r="P100" s="71"/>
      <c r="Q100" s="39"/>
      <c r="R100" s="51"/>
      <c r="S100" s="26"/>
      <c r="T100" s="71"/>
      <c r="U100" s="39"/>
      <c r="V100" s="26"/>
      <c r="W100" s="71"/>
      <c r="X100" s="39"/>
      <c r="Y100" s="26"/>
      <c r="Z100" s="59"/>
      <c r="AA100" s="39"/>
      <c r="AB100" s="51"/>
    </row>
    <row r="101" spans="1:28" ht="76.5" x14ac:dyDescent="0.25">
      <c r="A101" s="24"/>
      <c r="B101" s="32" t="s">
        <v>130</v>
      </c>
      <c r="C101" s="26">
        <v>29210.085470000002</v>
      </c>
      <c r="D101" s="71">
        <v>0</v>
      </c>
      <c r="E101" s="39">
        <f t="shared" ref="E101:E104" si="83">C101-D101</f>
        <v>29210.085470000002</v>
      </c>
      <c r="F101" s="26">
        <f>15085.37557</f>
        <v>15085.37557</v>
      </c>
      <c r="G101" s="71"/>
      <c r="H101" s="39">
        <f t="shared" ref="H101:H103" si="84">F101-G101</f>
        <v>15085.37557</v>
      </c>
      <c r="I101" s="26">
        <f>16603.80901-F101</f>
        <v>1518.4334400000007</v>
      </c>
      <c r="J101" s="71"/>
      <c r="K101" s="39">
        <f t="shared" ref="K101:K103" si="85">I101-J101</f>
        <v>1518.4334400000007</v>
      </c>
      <c r="L101" s="26">
        <v>28600.5</v>
      </c>
      <c r="M101" s="71">
        <v>166.9</v>
      </c>
      <c r="N101" s="39">
        <f t="shared" ref="N101:N103" si="86">L101-M101</f>
        <v>28433.599999999999</v>
      </c>
      <c r="O101" s="26">
        <f>32656.2</f>
        <v>32656.2</v>
      </c>
      <c r="P101" s="71"/>
      <c r="Q101" s="39">
        <f t="shared" ref="Q101:Q103" si="87">O101-P101</f>
        <v>32656.2</v>
      </c>
      <c r="R101" s="51">
        <f t="shared" si="69"/>
        <v>1.1179768725271038</v>
      </c>
      <c r="S101" s="26">
        <f>18870.37593</f>
        <v>18870.375929999998</v>
      </c>
      <c r="T101" s="71"/>
      <c r="U101" s="39">
        <f t="shared" ref="U101:U103" si="88">S101-T101</f>
        <v>18870.375929999998</v>
      </c>
      <c r="V101" s="26">
        <v>215.3</v>
      </c>
      <c r="W101" s="71"/>
      <c r="X101" s="39">
        <f t="shared" ref="X101:X103" si="89">V101-W101</f>
        <v>215.3</v>
      </c>
      <c r="Y101" s="26">
        <f>O101</f>
        <v>32656.2</v>
      </c>
      <c r="Z101" s="59"/>
      <c r="AA101" s="39">
        <f t="shared" ref="AA101:AA103" si="90">Y101-Z101</f>
        <v>32656.2</v>
      </c>
      <c r="AB101" s="51">
        <f t="shared" ref="AB101:AB144" si="91">AA101/E101</f>
        <v>1.1179768725271038</v>
      </c>
    </row>
    <row r="102" spans="1:28" ht="25.5" x14ac:dyDescent="0.25">
      <c r="A102" s="24"/>
      <c r="B102" s="32" t="s">
        <v>131</v>
      </c>
      <c r="C102" s="26">
        <v>188.4522</v>
      </c>
      <c r="D102" s="71">
        <v>0</v>
      </c>
      <c r="E102" s="39">
        <f t="shared" si="83"/>
        <v>188.4522</v>
      </c>
      <c r="F102" s="26">
        <f>188.4252</f>
        <v>188.42519999999999</v>
      </c>
      <c r="G102" s="71"/>
      <c r="H102" s="39">
        <f t="shared" si="84"/>
        <v>188.42519999999999</v>
      </c>
      <c r="I102" s="26">
        <f>188.4252-F102</f>
        <v>0</v>
      </c>
      <c r="J102" s="71"/>
      <c r="K102" s="39">
        <f t="shared" si="85"/>
        <v>0</v>
      </c>
      <c r="L102" s="26">
        <v>150</v>
      </c>
      <c r="M102" s="71">
        <v>0</v>
      </c>
      <c r="N102" s="39">
        <f t="shared" si="86"/>
        <v>150</v>
      </c>
      <c r="O102" s="26">
        <v>150</v>
      </c>
      <c r="P102" s="71"/>
      <c r="Q102" s="39">
        <f t="shared" si="87"/>
        <v>150</v>
      </c>
      <c r="R102" s="51">
        <f t="shared" si="69"/>
        <v>0.79595780786852044</v>
      </c>
      <c r="S102" s="26">
        <f>150</f>
        <v>150</v>
      </c>
      <c r="T102" s="71"/>
      <c r="U102" s="39">
        <f t="shared" si="88"/>
        <v>150</v>
      </c>
      <c r="V102" s="26"/>
      <c r="W102" s="71"/>
      <c r="X102" s="39">
        <f t="shared" si="89"/>
        <v>0</v>
      </c>
      <c r="Y102" s="26">
        <f t="shared" ref="Y102:Y103" si="92">O102</f>
        <v>150</v>
      </c>
      <c r="Z102" s="59"/>
      <c r="AA102" s="39">
        <f t="shared" si="90"/>
        <v>150</v>
      </c>
      <c r="AB102" s="51">
        <f t="shared" si="91"/>
        <v>0.79595780786852044</v>
      </c>
    </row>
    <row r="103" spans="1:28" ht="25.5" x14ac:dyDescent="0.25">
      <c r="A103" s="24"/>
      <c r="B103" s="32" t="s">
        <v>132</v>
      </c>
      <c r="C103" s="26">
        <v>590.32272999999998</v>
      </c>
      <c r="D103" s="71">
        <v>0</v>
      </c>
      <c r="E103" s="39">
        <f t="shared" si="83"/>
        <v>590.32272999999998</v>
      </c>
      <c r="F103" s="26">
        <f>3.18902+308.62276+17.44169+0</f>
        <v>329.25347000000005</v>
      </c>
      <c r="G103" s="71"/>
      <c r="H103" s="39">
        <f t="shared" si="84"/>
        <v>329.25347000000005</v>
      </c>
      <c r="I103" s="26">
        <f>440.85987-F103</f>
        <v>111.60639999999995</v>
      </c>
      <c r="J103" s="71"/>
      <c r="K103" s="39">
        <f t="shared" si="85"/>
        <v>111.60639999999995</v>
      </c>
      <c r="L103" s="26">
        <v>662.7</v>
      </c>
      <c r="M103" s="71">
        <v>0</v>
      </c>
      <c r="N103" s="39">
        <f t="shared" si="86"/>
        <v>662.7</v>
      </c>
      <c r="O103" s="26">
        <f>60+595.7+7</f>
        <v>662.7</v>
      </c>
      <c r="P103" s="71"/>
      <c r="Q103" s="39">
        <f t="shared" si="87"/>
        <v>662.7</v>
      </c>
      <c r="R103" s="51">
        <f t="shared" si="69"/>
        <v>1.1226062733515276</v>
      </c>
      <c r="S103" s="26">
        <f>295.23485+2.83106</f>
        <v>298.06590999999997</v>
      </c>
      <c r="T103" s="71"/>
      <c r="U103" s="39">
        <f t="shared" si="88"/>
        <v>298.06590999999997</v>
      </c>
      <c r="V103" s="26">
        <v>145</v>
      </c>
      <c r="W103" s="71"/>
      <c r="X103" s="39">
        <f t="shared" si="89"/>
        <v>145</v>
      </c>
      <c r="Y103" s="26">
        <f t="shared" si="92"/>
        <v>662.7</v>
      </c>
      <c r="Z103" s="59"/>
      <c r="AA103" s="39">
        <f t="shared" si="90"/>
        <v>662.7</v>
      </c>
      <c r="AB103" s="51">
        <f t="shared" si="91"/>
        <v>1.1226062733515276</v>
      </c>
    </row>
    <row r="104" spans="1:28" x14ac:dyDescent="0.25">
      <c r="A104" s="73"/>
      <c r="B104" s="12" t="s">
        <v>133</v>
      </c>
      <c r="C104" s="74">
        <f>C51</f>
        <v>2657311.2422799999</v>
      </c>
      <c r="D104" s="74">
        <f t="shared" ref="D104" si="93">D51</f>
        <v>1530265.3523300001</v>
      </c>
      <c r="E104" s="13">
        <f t="shared" si="83"/>
        <v>1127045.8899499997</v>
      </c>
      <c r="F104" s="74">
        <f>F51</f>
        <v>1588431.3710800002</v>
      </c>
      <c r="G104" s="74">
        <f t="shared" ref="G104" si="94">G51</f>
        <v>868272.77498999995</v>
      </c>
      <c r="H104" s="13">
        <f t="shared" si="40"/>
        <v>720158.59609000024</v>
      </c>
      <c r="I104" s="74">
        <f>I51</f>
        <v>179609.39298999996</v>
      </c>
      <c r="J104" s="74">
        <f t="shared" ref="J104" si="95">J51</f>
        <v>94012.797590000002</v>
      </c>
      <c r="K104" s="13">
        <f t="shared" si="41"/>
        <v>85596.595399999962</v>
      </c>
      <c r="L104" s="74">
        <f>L51</f>
        <v>3154742.84767</v>
      </c>
      <c r="M104" s="74">
        <f t="shared" ref="M104" si="96">M51</f>
        <v>1871812.6376100001</v>
      </c>
      <c r="N104" s="13">
        <f t="shared" si="42"/>
        <v>1282930.21006</v>
      </c>
      <c r="O104" s="74">
        <f>O51</f>
        <v>3499090.0529400003</v>
      </c>
      <c r="P104" s="74">
        <f t="shared" ref="P104" si="97">P51</f>
        <v>2076937.6889899999</v>
      </c>
      <c r="Q104" s="13">
        <f t="shared" si="43"/>
        <v>1422152.3639500004</v>
      </c>
      <c r="R104" s="14">
        <f>Q104/E104</f>
        <v>1.2618406904559074</v>
      </c>
      <c r="S104" s="74">
        <f>S51</f>
        <v>1949862.74477</v>
      </c>
      <c r="T104" s="74">
        <f t="shared" ref="T104" si="98">T51</f>
        <v>1130821.72116</v>
      </c>
      <c r="U104" s="13">
        <f t="shared" si="44"/>
        <v>819041.02361000003</v>
      </c>
      <c r="V104" s="74">
        <f>V51</f>
        <v>351942.69</v>
      </c>
      <c r="W104" s="74">
        <f t="shared" ref="W104" si="99">W51</f>
        <v>194746.3</v>
      </c>
      <c r="X104" s="13">
        <f t="shared" si="45"/>
        <v>157196.39000000001</v>
      </c>
      <c r="Y104" s="74">
        <f>Y51</f>
        <v>3526171.7082600002</v>
      </c>
      <c r="Z104" s="74">
        <f t="shared" ref="Z104" si="100">Z51</f>
        <v>2106126.3443100001</v>
      </c>
      <c r="AA104" s="13">
        <f t="shared" si="46"/>
        <v>1420045.3639500001</v>
      </c>
      <c r="AB104" s="14">
        <f t="shared" si="91"/>
        <v>1.2599712013616402</v>
      </c>
    </row>
    <row r="105" spans="1:28" x14ac:dyDescent="0.25">
      <c r="A105" s="41"/>
      <c r="B105" s="75" t="s">
        <v>134</v>
      </c>
      <c r="C105" s="76">
        <f t="shared" ref="C105:I106" si="101">C50-C51</f>
        <v>-2563.2885300000198</v>
      </c>
      <c r="D105" s="76">
        <f t="shared" si="101"/>
        <v>2812.576159999473</v>
      </c>
      <c r="E105" s="76">
        <f t="shared" si="101"/>
        <v>-5375.8646899994928</v>
      </c>
      <c r="F105" s="76">
        <f t="shared" si="101"/>
        <v>-1520.4961400001775</v>
      </c>
      <c r="G105" s="76">
        <f t="shared" si="101"/>
        <v>7191.5013200001558</v>
      </c>
      <c r="H105" s="76">
        <f t="shared" si="101"/>
        <v>-8711.9974600003334</v>
      </c>
      <c r="I105" s="76">
        <f t="shared" si="101"/>
        <v>126323.78237000003</v>
      </c>
      <c r="J105" s="76">
        <f>J50-J51</f>
        <v>68704.357759999984</v>
      </c>
      <c r="K105" s="76">
        <f>I105-J105</f>
        <v>57619.424610000046</v>
      </c>
      <c r="L105" s="76">
        <f>L50-L51</f>
        <v>-87200.000059999991</v>
      </c>
      <c r="M105" s="76">
        <f>M50-M51</f>
        <v>0</v>
      </c>
      <c r="N105" s="76">
        <f>N50-N51</f>
        <v>-87200.000059999758</v>
      </c>
      <c r="O105" s="76">
        <f>O50-O51</f>
        <v>-113487.00216000061</v>
      </c>
      <c r="P105" s="76">
        <f t="shared" ref="P105:Q105" si="102">P50-P51</f>
        <v>-4062.6751099999528</v>
      </c>
      <c r="Q105" s="76">
        <f t="shared" si="102"/>
        <v>-109424.32705000066</v>
      </c>
      <c r="R105" s="76"/>
      <c r="S105" s="76">
        <f t="shared" ref="S105:Z105" si="103">S50-S51</f>
        <v>-11468.134189999895</v>
      </c>
      <c r="T105" s="76">
        <f t="shared" si="103"/>
        <v>-4149.8303900002502</v>
      </c>
      <c r="U105" s="76">
        <f>S105-T105</f>
        <v>-7318.303799999645</v>
      </c>
      <c r="V105" s="76">
        <f t="shared" si="103"/>
        <v>-24227.567970000033</v>
      </c>
      <c r="W105" s="76">
        <f t="shared" si="103"/>
        <v>0.39999999999417923</v>
      </c>
      <c r="X105" s="76">
        <f>V105-W105</f>
        <v>-24227.967970000027</v>
      </c>
      <c r="Y105" s="76">
        <f t="shared" si="103"/>
        <v>-112545.68182000052</v>
      </c>
      <c r="Z105" s="76">
        <f t="shared" si="103"/>
        <v>-5962.173530000262</v>
      </c>
      <c r="AA105" s="76">
        <f>Y105-Z105</f>
        <v>-106583.50829000026</v>
      </c>
      <c r="AB105" s="19"/>
    </row>
    <row r="106" spans="1:28" s="156" customFormat="1" ht="22.5" x14ac:dyDescent="0.25">
      <c r="A106" s="163"/>
      <c r="B106" s="164" t="s">
        <v>135</v>
      </c>
      <c r="C106" s="77">
        <v>-2563.2618299999999</v>
      </c>
      <c r="D106" s="77">
        <v>2812.5761600000001</v>
      </c>
      <c r="E106" s="77"/>
      <c r="F106" s="77">
        <f>-1560.56652</f>
        <v>-1560.5665200000001</v>
      </c>
      <c r="G106" s="77">
        <f>64268.76653</f>
        <v>64268.766530000001</v>
      </c>
      <c r="H106" s="167">
        <f t="shared" si="101"/>
        <v>91347.385420000064</v>
      </c>
      <c r="I106" s="77">
        <f>124803.28623-F106</f>
        <v>126363.85274999999</v>
      </c>
      <c r="J106" s="77">
        <f>75895.85908-G106</f>
        <v>11627.092549999994</v>
      </c>
      <c r="K106" s="167">
        <f>I106-J106</f>
        <v>114736.76019999999</v>
      </c>
      <c r="L106" s="78"/>
      <c r="M106" s="78"/>
      <c r="N106" s="78"/>
      <c r="O106" s="79">
        <v>-113487.00216</v>
      </c>
      <c r="P106" s="80">
        <v>-4062.6751100000001</v>
      </c>
      <c r="Q106" s="167">
        <f>O106-P106</f>
        <v>-109424.32705000001</v>
      </c>
      <c r="R106" s="81"/>
      <c r="S106" s="77">
        <v>-11468.13329</v>
      </c>
      <c r="T106" s="77">
        <v>-4149.8284899999999</v>
      </c>
      <c r="U106" s="167">
        <f>S106-T106</f>
        <v>-7318.3047999999999</v>
      </c>
      <c r="V106" s="77"/>
      <c r="W106" s="77"/>
      <c r="X106" s="77"/>
      <c r="Y106" s="77"/>
      <c r="Z106" s="77"/>
      <c r="AA106" s="77"/>
      <c r="AB106" s="81"/>
    </row>
    <row r="107" spans="1:28" ht="26.25" x14ac:dyDescent="0.25">
      <c r="A107" s="15" t="s">
        <v>136</v>
      </c>
      <c r="B107" s="82" t="s">
        <v>137</v>
      </c>
      <c r="C107" s="83">
        <f>C109+C110+C115+C118</f>
        <v>2563.2885300000198</v>
      </c>
      <c r="D107" s="83" t="s">
        <v>138</v>
      </c>
      <c r="E107" s="84" t="s">
        <v>138</v>
      </c>
      <c r="F107" s="83">
        <f>F109+F110+F115+F118</f>
        <v>1520.4961400001775</v>
      </c>
      <c r="G107" s="83" t="s">
        <v>138</v>
      </c>
      <c r="H107" s="83" t="s">
        <v>138</v>
      </c>
      <c r="I107" s="83">
        <f>I109+I110+I115+I118</f>
        <v>-126323.78237000003</v>
      </c>
      <c r="J107" s="83" t="s">
        <v>138</v>
      </c>
      <c r="K107" s="83" t="s">
        <v>138</v>
      </c>
      <c r="L107" s="85">
        <f>L109+L110+L115+L118</f>
        <v>87200.000059999991</v>
      </c>
      <c r="M107" s="83" t="s">
        <v>138</v>
      </c>
      <c r="N107" s="83" t="s">
        <v>138</v>
      </c>
      <c r="O107" s="85">
        <f>O109+O110+O115+O118</f>
        <v>113487.00216000061</v>
      </c>
      <c r="P107" s="83" t="s">
        <v>138</v>
      </c>
      <c r="Q107" s="83" t="s">
        <v>138</v>
      </c>
      <c r="R107" s="19"/>
      <c r="S107" s="83">
        <f>S109+S110+S115+S118</f>
        <v>11468.134189999895</v>
      </c>
      <c r="T107" s="83" t="s">
        <v>138</v>
      </c>
      <c r="U107" s="83" t="s">
        <v>138</v>
      </c>
      <c r="V107" s="83">
        <f>V109+V110+V115+V118</f>
        <v>24227.567970000033</v>
      </c>
      <c r="W107" s="86" t="s">
        <v>138</v>
      </c>
      <c r="X107" s="86" t="s">
        <v>138</v>
      </c>
      <c r="Y107" s="83">
        <f>Y109+Y110+Y115+Y118</f>
        <v>112545.68182000051</v>
      </c>
      <c r="Z107" s="83" t="s">
        <v>138</v>
      </c>
      <c r="AA107" s="83" t="s">
        <v>138</v>
      </c>
      <c r="AB107" s="19"/>
    </row>
    <row r="108" spans="1:28" x14ac:dyDescent="0.25">
      <c r="A108" s="15"/>
      <c r="B108" s="25" t="s">
        <v>17</v>
      </c>
      <c r="C108" s="83"/>
      <c r="D108" s="83"/>
      <c r="E108" s="84"/>
      <c r="F108" s="83"/>
      <c r="G108" s="83"/>
      <c r="H108" s="83"/>
      <c r="I108" s="83"/>
      <c r="J108" s="83"/>
      <c r="K108" s="83"/>
      <c r="L108" s="87"/>
      <c r="M108" s="83"/>
      <c r="N108" s="83"/>
      <c r="O108" s="87"/>
      <c r="P108" s="83"/>
      <c r="Q108" s="83"/>
      <c r="R108" s="19"/>
      <c r="S108" s="87"/>
      <c r="T108" s="83"/>
      <c r="U108" s="83"/>
      <c r="V108" s="87"/>
      <c r="W108" s="87"/>
      <c r="X108" s="87"/>
      <c r="Y108" s="87"/>
      <c r="Z108" s="83"/>
      <c r="AA108" s="83"/>
      <c r="AB108" s="19"/>
    </row>
    <row r="109" spans="1:28" x14ac:dyDescent="0.25">
      <c r="A109" s="15" t="s">
        <v>139</v>
      </c>
      <c r="B109" s="82" t="s">
        <v>140</v>
      </c>
      <c r="C109" s="83">
        <f>C104-C50-C115-C110-C118</f>
        <v>-103355.03638999998</v>
      </c>
      <c r="D109" s="83" t="s">
        <v>138</v>
      </c>
      <c r="E109" s="84" t="s">
        <v>138</v>
      </c>
      <c r="F109" s="83">
        <f>F104-F50-F115-F110-F118</f>
        <v>-193370.13920999982</v>
      </c>
      <c r="G109" s="83" t="s">
        <v>138</v>
      </c>
      <c r="H109" s="83" t="s">
        <v>138</v>
      </c>
      <c r="I109" s="83">
        <f>I104-I50-I115-I110-I118</f>
        <v>-59658.293200000029</v>
      </c>
      <c r="J109" s="83" t="s">
        <v>138</v>
      </c>
      <c r="K109" s="83" t="s">
        <v>138</v>
      </c>
      <c r="L109" s="85">
        <f>L104-L50-L115-L110-L118</f>
        <v>5.9999991208314896E-5</v>
      </c>
      <c r="M109" s="85" t="s">
        <v>138</v>
      </c>
      <c r="N109" s="85" t="s">
        <v>138</v>
      </c>
      <c r="O109" s="85">
        <f>O104-O50-O115-O110-O118</f>
        <v>52617.002160000615</v>
      </c>
      <c r="P109" s="83" t="s">
        <v>138</v>
      </c>
      <c r="Q109" s="83" t="s">
        <v>138</v>
      </c>
      <c r="R109" s="19"/>
      <c r="S109" s="83">
        <f>S104-S50-S115-S110-S118</f>
        <v>-137136.63167000012</v>
      </c>
      <c r="T109" s="83" t="s">
        <v>138</v>
      </c>
      <c r="U109" s="83" t="s">
        <v>138</v>
      </c>
      <c r="V109" s="83">
        <f>V104-V50-V115-V110-V118</f>
        <v>183622.33383000005</v>
      </c>
      <c r="W109" s="83" t="s">
        <v>138</v>
      </c>
      <c r="X109" s="83" t="s">
        <v>138</v>
      </c>
      <c r="Y109" s="83">
        <f>Y104-Y50-Y115-Y110-Y118</f>
        <v>171174.00674000051</v>
      </c>
      <c r="Z109" s="83" t="s">
        <v>138</v>
      </c>
      <c r="AA109" s="83" t="s">
        <v>138</v>
      </c>
      <c r="AB109" s="19"/>
    </row>
    <row r="110" spans="1:28" ht="26.25" x14ac:dyDescent="0.25">
      <c r="A110" s="15" t="s">
        <v>141</v>
      </c>
      <c r="B110" s="82" t="s">
        <v>142</v>
      </c>
      <c r="C110" s="83">
        <f>C111+C112+C113+C114</f>
        <v>-13580</v>
      </c>
      <c r="D110" s="83" t="s">
        <v>138</v>
      </c>
      <c r="E110" s="84" t="s">
        <v>138</v>
      </c>
      <c r="F110" s="83">
        <f>F111+F112+F113+F114</f>
        <v>0</v>
      </c>
      <c r="G110" s="83" t="s">
        <v>138</v>
      </c>
      <c r="H110" s="83" t="s">
        <v>138</v>
      </c>
      <c r="I110" s="83">
        <f>I111+I112+I113+I114</f>
        <v>-2790</v>
      </c>
      <c r="J110" s="83" t="s">
        <v>138</v>
      </c>
      <c r="K110" s="83" t="s">
        <v>138</v>
      </c>
      <c r="L110" s="83">
        <f>L111+L112+L113+L114</f>
        <v>-29580</v>
      </c>
      <c r="M110" s="83" t="s">
        <v>138</v>
      </c>
      <c r="N110" s="83" t="s">
        <v>138</v>
      </c>
      <c r="O110" s="83">
        <f>O111+O112+O113+O114</f>
        <v>-29580</v>
      </c>
      <c r="P110" s="83" t="s">
        <v>138</v>
      </c>
      <c r="Q110" s="83" t="s">
        <v>138</v>
      </c>
      <c r="R110" s="19"/>
      <c r="S110" s="83">
        <f>S111+S112+S113+S114</f>
        <v>0</v>
      </c>
      <c r="T110" s="83" t="s">
        <v>138</v>
      </c>
      <c r="U110" s="83" t="s">
        <v>138</v>
      </c>
      <c r="V110" s="83">
        <f>V111+V112+V113+V114</f>
        <v>-10790</v>
      </c>
      <c r="W110" s="83" t="s">
        <v>138</v>
      </c>
      <c r="X110" s="83" t="s">
        <v>138</v>
      </c>
      <c r="Y110" s="83">
        <f>Y111+Y112+Y113+Y114</f>
        <v>-29580</v>
      </c>
      <c r="Z110" s="83" t="s">
        <v>138</v>
      </c>
      <c r="AA110" s="83" t="s">
        <v>138</v>
      </c>
      <c r="AB110" s="19"/>
    </row>
    <row r="111" spans="1:28" x14ac:dyDescent="0.25">
      <c r="A111" s="15"/>
      <c r="B111" s="25" t="s">
        <v>143</v>
      </c>
      <c r="C111" s="88">
        <v>0</v>
      </c>
      <c r="D111" s="83" t="s">
        <v>138</v>
      </c>
      <c r="E111" s="84" t="s">
        <v>138</v>
      </c>
      <c r="F111" s="88"/>
      <c r="G111" s="83" t="s">
        <v>138</v>
      </c>
      <c r="H111" s="83" t="s">
        <v>138</v>
      </c>
      <c r="I111" s="88">
        <v>0</v>
      </c>
      <c r="J111" s="83" t="s">
        <v>138</v>
      </c>
      <c r="K111" s="83" t="s">
        <v>138</v>
      </c>
      <c r="L111" s="88"/>
      <c r="M111" s="83" t="s">
        <v>138</v>
      </c>
      <c r="N111" s="83" t="s">
        <v>138</v>
      </c>
      <c r="O111" s="88"/>
      <c r="P111" s="83" t="s">
        <v>138</v>
      </c>
      <c r="Q111" s="83" t="s">
        <v>138</v>
      </c>
      <c r="R111" s="19"/>
      <c r="S111" s="88"/>
      <c r="T111" s="83" t="s">
        <v>138</v>
      </c>
      <c r="U111" s="83" t="s">
        <v>138</v>
      </c>
      <c r="V111" s="88"/>
      <c r="W111" s="83" t="s">
        <v>138</v>
      </c>
      <c r="X111" s="83" t="s">
        <v>138</v>
      </c>
      <c r="Y111" s="88"/>
      <c r="Z111" s="83" t="s">
        <v>138</v>
      </c>
      <c r="AA111" s="83" t="s">
        <v>138</v>
      </c>
      <c r="AB111" s="19"/>
    </row>
    <row r="112" spans="1:28" ht="26.25" x14ac:dyDescent="0.25">
      <c r="A112" s="15"/>
      <c r="B112" s="25" t="s">
        <v>144</v>
      </c>
      <c r="C112" s="88">
        <v>0</v>
      </c>
      <c r="D112" s="83" t="s">
        <v>138</v>
      </c>
      <c r="E112" s="84" t="s">
        <v>138</v>
      </c>
      <c r="F112" s="88"/>
      <c r="G112" s="83" t="s">
        <v>138</v>
      </c>
      <c r="H112" s="83" t="s">
        <v>138</v>
      </c>
      <c r="I112" s="88"/>
      <c r="J112" s="83" t="s">
        <v>138</v>
      </c>
      <c r="K112" s="83" t="s">
        <v>138</v>
      </c>
      <c r="L112" s="88"/>
      <c r="M112" s="83" t="s">
        <v>138</v>
      </c>
      <c r="N112" s="83" t="s">
        <v>138</v>
      </c>
      <c r="O112" s="88"/>
      <c r="P112" s="83" t="s">
        <v>138</v>
      </c>
      <c r="Q112" s="83" t="s">
        <v>138</v>
      </c>
      <c r="R112" s="19"/>
      <c r="S112" s="88"/>
      <c r="T112" s="83" t="s">
        <v>138</v>
      </c>
      <c r="U112" s="83" t="s">
        <v>138</v>
      </c>
      <c r="V112" s="88"/>
      <c r="W112" s="83" t="s">
        <v>138</v>
      </c>
      <c r="X112" s="83" t="s">
        <v>138</v>
      </c>
      <c r="Y112" s="88"/>
      <c r="Z112" s="83" t="s">
        <v>138</v>
      </c>
      <c r="AA112" s="83" t="s">
        <v>138</v>
      </c>
      <c r="AB112" s="19"/>
    </row>
    <row r="113" spans="1:28" x14ac:dyDescent="0.25">
      <c r="A113" s="15"/>
      <c r="B113" s="25" t="s">
        <v>145</v>
      </c>
      <c r="C113" s="88">
        <v>-13580</v>
      </c>
      <c r="D113" s="83" t="s">
        <v>138</v>
      </c>
      <c r="E113" s="84" t="s">
        <v>138</v>
      </c>
      <c r="F113" s="88">
        <v>0</v>
      </c>
      <c r="G113" s="83" t="s">
        <v>138</v>
      </c>
      <c r="H113" s="83" t="s">
        <v>138</v>
      </c>
      <c r="I113" s="88">
        <f>-2790-F113</f>
        <v>-2790</v>
      </c>
      <c r="J113" s="83" t="s">
        <v>138</v>
      </c>
      <c r="K113" s="83" t="s">
        <v>138</v>
      </c>
      <c r="L113" s="88">
        <v>-29580</v>
      </c>
      <c r="M113" s="83" t="s">
        <v>138</v>
      </c>
      <c r="N113" s="83" t="s">
        <v>138</v>
      </c>
      <c r="O113" s="88">
        <v>-29580</v>
      </c>
      <c r="P113" s="83" t="s">
        <v>138</v>
      </c>
      <c r="Q113" s="83" t="s">
        <v>138</v>
      </c>
      <c r="R113" s="19"/>
      <c r="S113" s="88">
        <v>0</v>
      </c>
      <c r="T113" s="83" t="s">
        <v>138</v>
      </c>
      <c r="U113" s="83" t="s">
        <v>138</v>
      </c>
      <c r="V113" s="88">
        <v>-10790</v>
      </c>
      <c r="W113" s="83" t="s">
        <v>138</v>
      </c>
      <c r="X113" s="83" t="s">
        <v>138</v>
      </c>
      <c r="Y113" s="88">
        <f>O113</f>
        <v>-29580</v>
      </c>
      <c r="Z113" s="83" t="s">
        <v>138</v>
      </c>
      <c r="AA113" s="83" t="s">
        <v>138</v>
      </c>
      <c r="AB113" s="19"/>
    </row>
    <row r="114" spans="1:28" ht="26.25" x14ac:dyDescent="0.25">
      <c r="A114" s="15"/>
      <c r="B114" s="25" t="s">
        <v>146</v>
      </c>
      <c r="C114" s="88">
        <v>0</v>
      </c>
      <c r="D114" s="83" t="s">
        <v>138</v>
      </c>
      <c r="E114" s="84" t="s">
        <v>138</v>
      </c>
      <c r="F114" s="88"/>
      <c r="G114" s="83" t="s">
        <v>138</v>
      </c>
      <c r="H114" s="83" t="s">
        <v>138</v>
      </c>
      <c r="I114" s="88"/>
      <c r="J114" s="83" t="s">
        <v>138</v>
      </c>
      <c r="K114" s="83" t="s">
        <v>138</v>
      </c>
      <c r="L114" s="88"/>
      <c r="M114" s="83" t="s">
        <v>138</v>
      </c>
      <c r="N114" s="83" t="s">
        <v>138</v>
      </c>
      <c r="O114" s="88"/>
      <c r="P114" s="83" t="s">
        <v>138</v>
      </c>
      <c r="Q114" s="83" t="s">
        <v>138</v>
      </c>
      <c r="R114" s="19"/>
      <c r="S114" s="88"/>
      <c r="T114" s="83" t="s">
        <v>138</v>
      </c>
      <c r="U114" s="83" t="s">
        <v>138</v>
      </c>
      <c r="V114" s="88"/>
      <c r="W114" s="83" t="s">
        <v>138</v>
      </c>
      <c r="X114" s="83" t="s">
        <v>138</v>
      </c>
      <c r="Y114" s="88"/>
      <c r="Z114" s="83" t="s">
        <v>138</v>
      </c>
      <c r="AA114" s="83" t="s">
        <v>138</v>
      </c>
      <c r="AB114" s="19"/>
    </row>
    <row r="115" spans="1:28" x14ac:dyDescent="0.25">
      <c r="A115" s="15" t="s">
        <v>147</v>
      </c>
      <c r="B115" s="82" t="s">
        <v>148</v>
      </c>
      <c r="C115" s="83">
        <f>C116+C117</f>
        <v>0</v>
      </c>
      <c r="D115" s="83" t="s">
        <v>138</v>
      </c>
      <c r="E115" s="84" t="s">
        <v>138</v>
      </c>
      <c r="F115" s="83">
        <f t="shared" ref="F115" si="104">F116+F117</f>
        <v>0</v>
      </c>
      <c r="G115" s="83" t="s">
        <v>138</v>
      </c>
      <c r="H115" s="83" t="s">
        <v>138</v>
      </c>
      <c r="I115" s="83">
        <f t="shared" ref="I115" si="105">I116+I117</f>
        <v>0</v>
      </c>
      <c r="J115" s="83" t="s">
        <v>138</v>
      </c>
      <c r="K115" s="83" t="s">
        <v>138</v>
      </c>
      <c r="L115" s="83">
        <f t="shared" ref="L115" si="106">L116+L117</f>
        <v>116780</v>
      </c>
      <c r="M115" s="83" t="s">
        <v>138</v>
      </c>
      <c r="N115" s="83" t="s">
        <v>138</v>
      </c>
      <c r="O115" s="83">
        <f t="shared" ref="O115" si="107">O116+O117</f>
        <v>90450</v>
      </c>
      <c r="P115" s="83" t="s">
        <v>138</v>
      </c>
      <c r="Q115" s="83" t="s">
        <v>138</v>
      </c>
      <c r="R115" s="19"/>
      <c r="S115" s="83">
        <f t="shared" ref="S115" si="108">S116+S117</f>
        <v>0</v>
      </c>
      <c r="T115" s="83" t="s">
        <v>138</v>
      </c>
      <c r="U115" s="83" t="s">
        <v>138</v>
      </c>
      <c r="V115" s="83">
        <f t="shared" ref="V115" si="109">V116+V117</f>
        <v>0</v>
      </c>
      <c r="W115" s="83" t="s">
        <v>138</v>
      </c>
      <c r="X115" s="83" t="s">
        <v>138</v>
      </c>
      <c r="Y115" s="83">
        <f t="shared" ref="Y115" si="110">Y116+Y117</f>
        <v>90450</v>
      </c>
      <c r="Z115" s="83" t="s">
        <v>138</v>
      </c>
      <c r="AA115" s="83" t="s">
        <v>138</v>
      </c>
      <c r="AB115" s="19"/>
    </row>
    <row r="116" spans="1:28" x14ac:dyDescent="0.25">
      <c r="A116" s="24"/>
      <c r="B116" s="25" t="s">
        <v>149</v>
      </c>
      <c r="C116" s="88"/>
      <c r="D116" s="83" t="s">
        <v>138</v>
      </c>
      <c r="E116" s="84" t="s">
        <v>138</v>
      </c>
      <c r="F116" s="88"/>
      <c r="G116" s="83" t="s">
        <v>138</v>
      </c>
      <c r="H116" s="83" t="s">
        <v>138</v>
      </c>
      <c r="I116" s="88"/>
      <c r="J116" s="83" t="s">
        <v>138</v>
      </c>
      <c r="K116" s="83" t="s">
        <v>138</v>
      </c>
      <c r="L116" s="88">
        <v>116780</v>
      </c>
      <c r="M116" s="83" t="s">
        <v>138</v>
      </c>
      <c r="N116" s="83" t="s">
        <v>138</v>
      </c>
      <c r="O116" s="88">
        <v>90450</v>
      </c>
      <c r="P116" s="83" t="s">
        <v>138</v>
      </c>
      <c r="Q116" s="83" t="s">
        <v>138</v>
      </c>
      <c r="R116" s="19"/>
      <c r="S116" s="88">
        <v>0</v>
      </c>
      <c r="T116" s="83" t="s">
        <v>138</v>
      </c>
      <c r="U116" s="83" t="s">
        <v>138</v>
      </c>
      <c r="V116" s="88"/>
      <c r="W116" s="83" t="s">
        <v>138</v>
      </c>
      <c r="X116" s="83" t="s">
        <v>138</v>
      </c>
      <c r="Y116" s="88">
        <f>O116</f>
        <v>90450</v>
      </c>
      <c r="Z116" s="83" t="s">
        <v>138</v>
      </c>
      <c r="AA116" s="83" t="s">
        <v>138</v>
      </c>
      <c r="AB116" s="19"/>
    </row>
    <row r="117" spans="1:28" x14ac:dyDescent="0.25">
      <c r="A117" s="15"/>
      <c r="B117" s="25" t="s">
        <v>145</v>
      </c>
      <c r="C117" s="85"/>
      <c r="D117" s="83" t="s">
        <v>138</v>
      </c>
      <c r="E117" s="84" t="s">
        <v>138</v>
      </c>
      <c r="F117" s="85"/>
      <c r="G117" s="83" t="s">
        <v>138</v>
      </c>
      <c r="H117" s="83" t="s">
        <v>138</v>
      </c>
      <c r="I117" s="85"/>
      <c r="J117" s="83" t="s">
        <v>138</v>
      </c>
      <c r="K117" s="83" t="s">
        <v>138</v>
      </c>
      <c r="L117" s="85"/>
      <c r="M117" s="83" t="s">
        <v>138</v>
      </c>
      <c r="N117" s="83" t="s">
        <v>138</v>
      </c>
      <c r="O117" s="85"/>
      <c r="P117" s="83" t="s">
        <v>138</v>
      </c>
      <c r="Q117" s="83" t="s">
        <v>138</v>
      </c>
      <c r="R117" s="19"/>
      <c r="S117" s="85"/>
      <c r="T117" s="83" t="s">
        <v>138</v>
      </c>
      <c r="U117" s="83" t="s">
        <v>138</v>
      </c>
      <c r="V117" s="85"/>
      <c r="W117" s="83" t="s">
        <v>138</v>
      </c>
      <c r="X117" s="83" t="s">
        <v>138</v>
      </c>
      <c r="Y117" s="85"/>
      <c r="Z117" s="83" t="s">
        <v>138</v>
      </c>
      <c r="AA117" s="83" t="s">
        <v>138</v>
      </c>
      <c r="AB117" s="19"/>
    </row>
    <row r="118" spans="1:28" ht="26.25" x14ac:dyDescent="0.25">
      <c r="A118" s="15" t="s">
        <v>150</v>
      </c>
      <c r="B118" s="82" t="s">
        <v>151</v>
      </c>
      <c r="C118" s="85">
        <f>C120</f>
        <v>119498.32492</v>
      </c>
      <c r="D118" s="83" t="s">
        <v>138</v>
      </c>
      <c r="E118" s="84" t="s">
        <v>138</v>
      </c>
      <c r="F118" s="85">
        <f>F120</f>
        <v>194890.63535</v>
      </c>
      <c r="G118" s="83" t="s">
        <v>138</v>
      </c>
      <c r="H118" s="83" t="s">
        <v>138</v>
      </c>
      <c r="I118" s="85">
        <f>I120</f>
        <v>-63875.489170000001</v>
      </c>
      <c r="J118" s="83" t="s">
        <v>138</v>
      </c>
      <c r="K118" s="83" t="s">
        <v>138</v>
      </c>
      <c r="L118" s="85">
        <f>L120</f>
        <v>0</v>
      </c>
      <c r="M118" s="83" t="s">
        <v>138</v>
      </c>
      <c r="N118" s="83" t="s">
        <v>138</v>
      </c>
      <c r="O118" s="85"/>
      <c r="P118" s="83" t="s">
        <v>138</v>
      </c>
      <c r="Q118" s="83" t="s">
        <v>138</v>
      </c>
      <c r="R118" s="19"/>
      <c r="S118" s="85">
        <f>S120</f>
        <v>148604.76586000001</v>
      </c>
      <c r="T118" s="83" t="s">
        <v>138</v>
      </c>
      <c r="U118" s="83" t="s">
        <v>138</v>
      </c>
      <c r="V118" s="85">
        <f>V120</f>
        <v>-148604.76586000001</v>
      </c>
      <c r="W118" s="83" t="s">
        <v>138</v>
      </c>
      <c r="X118" s="83" t="s">
        <v>138</v>
      </c>
      <c r="Y118" s="85">
        <f>Y120</f>
        <v>-119498.32492</v>
      </c>
      <c r="Z118" s="83" t="s">
        <v>138</v>
      </c>
      <c r="AA118" s="83" t="s">
        <v>138</v>
      </c>
      <c r="AB118" s="19"/>
    </row>
    <row r="119" spans="1:28" x14ac:dyDescent="0.25">
      <c r="A119" s="15"/>
      <c r="B119" s="25" t="s">
        <v>17</v>
      </c>
      <c r="C119" s="85"/>
      <c r="D119" s="83"/>
      <c r="E119" s="84"/>
      <c r="F119" s="85"/>
      <c r="G119" s="83"/>
      <c r="H119" s="83"/>
      <c r="I119" s="85"/>
      <c r="J119" s="83"/>
      <c r="K119" s="83"/>
      <c r="L119" s="85"/>
      <c r="M119" s="83"/>
      <c r="N119" s="83"/>
      <c r="O119" s="85"/>
      <c r="P119" s="83"/>
      <c r="Q119" s="83"/>
      <c r="R119" s="19"/>
      <c r="S119" s="85"/>
      <c r="T119" s="83"/>
      <c r="U119" s="83"/>
      <c r="V119" s="85"/>
      <c r="W119" s="83"/>
      <c r="X119" s="83"/>
      <c r="Y119" s="85"/>
      <c r="Z119" s="83"/>
      <c r="AA119" s="83"/>
      <c r="AB119" s="19"/>
    </row>
    <row r="120" spans="1:28" ht="51" x14ac:dyDescent="0.25">
      <c r="A120" s="15"/>
      <c r="B120" s="89" t="s">
        <v>152</v>
      </c>
      <c r="C120" s="85">
        <v>119498.32492</v>
      </c>
      <c r="D120" s="83" t="s">
        <v>138</v>
      </c>
      <c r="E120" s="84" t="s">
        <v>138</v>
      </c>
      <c r="F120" s="85">
        <f>194890.63535</f>
        <v>194890.63535</v>
      </c>
      <c r="G120" s="83" t="s">
        <v>138</v>
      </c>
      <c r="H120" s="83" t="s">
        <v>138</v>
      </c>
      <c r="I120" s="85">
        <f>131015.14618-F120</f>
        <v>-63875.489170000001</v>
      </c>
      <c r="J120" s="83" t="s">
        <v>138</v>
      </c>
      <c r="K120" s="83" t="s">
        <v>138</v>
      </c>
      <c r="L120" s="85">
        <v>0</v>
      </c>
      <c r="M120" s="83" t="s">
        <v>138</v>
      </c>
      <c r="N120" s="83" t="s">
        <v>138</v>
      </c>
      <c r="O120" s="85">
        <v>0</v>
      </c>
      <c r="P120" s="83" t="s">
        <v>138</v>
      </c>
      <c r="Q120" s="83" t="s">
        <v>138</v>
      </c>
      <c r="R120" s="19"/>
      <c r="S120" s="85">
        <v>148604.76586000001</v>
      </c>
      <c r="T120" s="83" t="s">
        <v>138</v>
      </c>
      <c r="U120" s="83" t="s">
        <v>138</v>
      </c>
      <c r="V120" s="85">
        <f>-S120</f>
        <v>-148604.76586000001</v>
      </c>
      <c r="W120" s="83" t="s">
        <v>138</v>
      </c>
      <c r="X120" s="83" t="s">
        <v>138</v>
      </c>
      <c r="Y120" s="85">
        <f>-C120</f>
        <v>-119498.32492</v>
      </c>
      <c r="Z120" s="83" t="s">
        <v>138</v>
      </c>
      <c r="AA120" s="83" t="s">
        <v>138</v>
      </c>
      <c r="AB120" s="19"/>
    </row>
    <row r="121" spans="1:28" ht="25.5" x14ac:dyDescent="0.25">
      <c r="A121" s="15"/>
      <c r="B121" s="32" t="s">
        <v>153</v>
      </c>
      <c r="C121" s="85"/>
      <c r="D121" s="83" t="s">
        <v>138</v>
      </c>
      <c r="E121" s="84" t="s">
        <v>138</v>
      </c>
      <c r="F121" s="85"/>
      <c r="G121" s="83" t="s">
        <v>138</v>
      </c>
      <c r="H121" s="83" t="s">
        <v>138</v>
      </c>
      <c r="I121" s="85"/>
      <c r="J121" s="83" t="s">
        <v>138</v>
      </c>
      <c r="K121" s="83" t="s">
        <v>138</v>
      </c>
      <c r="L121" s="85">
        <v>0</v>
      </c>
      <c r="M121" s="83" t="s">
        <v>138</v>
      </c>
      <c r="N121" s="83" t="s">
        <v>138</v>
      </c>
      <c r="O121" s="85"/>
      <c r="P121" s="83" t="s">
        <v>138</v>
      </c>
      <c r="Q121" s="83" t="s">
        <v>138</v>
      </c>
      <c r="R121" s="19"/>
      <c r="S121" s="85"/>
      <c r="T121" s="83" t="s">
        <v>138</v>
      </c>
      <c r="U121" s="83" t="s">
        <v>138</v>
      </c>
      <c r="V121" s="85"/>
      <c r="W121" s="83" t="s">
        <v>138</v>
      </c>
      <c r="X121" s="83" t="s">
        <v>138</v>
      </c>
      <c r="Y121" s="85"/>
      <c r="Z121" s="83" t="s">
        <v>138</v>
      </c>
      <c r="AA121" s="83" t="s">
        <v>138</v>
      </c>
      <c r="AB121" s="19"/>
    </row>
    <row r="122" spans="1:28" ht="25.5" x14ac:dyDescent="0.25">
      <c r="A122" s="15"/>
      <c r="B122" s="32" t="s">
        <v>154</v>
      </c>
      <c r="C122" s="85"/>
      <c r="D122" s="90" t="s">
        <v>138</v>
      </c>
      <c r="E122" s="84" t="s">
        <v>138</v>
      </c>
      <c r="F122" s="91"/>
      <c r="G122" s="83" t="s">
        <v>138</v>
      </c>
      <c r="H122" s="83" t="s">
        <v>138</v>
      </c>
      <c r="I122" s="85"/>
      <c r="J122" s="83" t="s">
        <v>138</v>
      </c>
      <c r="K122" s="83" t="s">
        <v>138</v>
      </c>
      <c r="L122" s="92">
        <v>0</v>
      </c>
      <c r="M122" s="83" t="s">
        <v>138</v>
      </c>
      <c r="N122" s="83" t="s">
        <v>138</v>
      </c>
      <c r="O122" s="92"/>
      <c r="P122" s="83" t="s">
        <v>138</v>
      </c>
      <c r="Q122" s="83" t="s">
        <v>138</v>
      </c>
      <c r="R122" s="19"/>
      <c r="S122" s="92"/>
      <c r="T122" s="83" t="s">
        <v>138</v>
      </c>
      <c r="U122" s="83" t="s">
        <v>138</v>
      </c>
      <c r="V122" s="92"/>
      <c r="W122" s="83" t="s">
        <v>138</v>
      </c>
      <c r="X122" s="83" t="s">
        <v>138</v>
      </c>
      <c r="Y122" s="92"/>
      <c r="Z122" s="83" t="s">
        <v>138</v>
      </c>
      <c r="AA122" s="83" t="s">
        <v>138</v>
      </c>
      <c r="AB122" s="19"/>
    </row>
    <row r="123" spans="1:28" ht="20.25" customHeight="1" x14ac:dyDescent="0.25">
      <c r="A123" s="93" t="s">
        <v>155</v>
      </c>
      <c r="B123" s="94" t="s">
        <v>156</v>
      </c>
      <c r="C123" s="90">
        <f>C124+C125</f>
        <v>172121.38482000001</v>
      </c>
      <c r="D123" s="90" t="s">
        <v>138</v>
      </c>
      <c r="E123" s="95" t="s">
        <v>138</v>
      </c>
      <c r="F123" s="90">
        <f>F124+F125</f>
        <v>263370.38975999999</v>
      </c>
      <c r="G123" s="90" t="s">
        <v>138</v>
      </c>
      <c r="H123" s="90" t="s">
        <v>138</v>
      </c>
      <c r="I123" s="90">
        <f>I124+I125</f>
        <v>58424.363580000005</v>
      </c>
      <c r="J123" s="90" t="s">
        <v>138</v>
      </c>
      <c r="K123" s="83" t="s">
        <v>138</v>
      </c>
      <c r="L123" s="83" t="s">
        <v>138</v>
      </c>
      <c r="M123" s="83" t="s">
        <v>138</v>
      </c>
      <c r="N123" s="90" t="s">
        <v>138</v>
      </c>
      <c r="O123" s="90" t="s">
        <v>138</v>
      </c>
      <c r="P123" s="90" t="s">
        <v>138</v>
      </c>
      <c r="Q123" s="90" t="s">
        <v>138</v>
      </c>
      <c r="R123" s="19"/>
      <c r="S123" s="90">
        <f>S124+S125</f>
        <v>320726.15068000002</v>
      </c>
      <c r="T123" s="90" t="s">
        <v>138</v>
      </c>
      <c r="U123" s="90" t="s">
        <v>138</v>
      </c>
      <c r="V123" s="90">
        <f>V124+V125</f>
        <v>285708.58271000005</v>
      </c>
      <c r="W123" s="83" t="s">
        <v>138</v>
      </c>
      <c r="X123" s="83" t="s">
        <v>138</v>
      </c>
      <c r="Y123" s="90">
        <f>Y124+Y125</f>
        <v>947</v>
      </c>
      <c r="Z123" s="83" t="s">
        <v>138</v>
      </c>
      <c r="AA123" s="83" t="s">
        <v>138</v>
      </c>
      <c r="AB123" s="19"/>
    </row>
    <row r="124" spans="1:28" x14ac:dyDescent="0.25">
      <c r="A124" s="24"/>
      <c r="B124" s="25" t="s">
        <v>157</v>
      </c>
      <c r="C124" s="96">
        <f>1274+3000+45.15066+30.10046+6.00587</f>
        <v>4355.2569899999999</v>
      </c>
      <c r="D124" s="83" t="s">
        <v>138</v>
      </c>
      <c r="E124" s="84" t="s">
        <v>138</v>
      </c>
      <c r="F124" s="96">
        <f>3.72722+12485+704.1-123.57706-5609.06801+1274</f>
        <v>8734.1821500000005</v>
      </c>
      <c r="G124" s="83" t="s">
        <v>138</v>
      </c>
      <c r="H124" s="83" t="s">
        <v>138</v>
      </c>
      <c r="I124" s="97">
        <f>77439.85672-F124</f>
        <v>68705.674570000003</v>
      </c>
      <c r="J124" s="83" t="s">
        <v>138</v>
      </c>
      <c r="K124" s="83" t="s">
        <v>138</v>
      </c>
      <c r="L124" s="83" t="s">
        <v>138</v>
      </c>
      <c r="M124" s="83" t="s">
        <v>138</v>
      </c>
      <c r="N124" s="90" t="s">
        <v>138</v>
      </c>
      <c r="O124" s="90" t="s">
        <v>138</v>
      </c>
      <c r="P124" s="90" t="s">
        <v>138</v>
      </c>
      <c r="Q124" s="90" t="s">
        <v>138</v>
      </c>
      <c r="R124" s="19"/>
      <c r="S124" s="97">
        <f>3.04078+1809.30426</f>
        <v>1812.3450400000002</v>
      </c>
      <c r="T124" s="90" t="s">
        <v>138</v>
      </c>
      <c r="U124" s="90" t="s">
        <v>138</v>
      </c>
      <c r="V124" s="97">
        <f>S124+W105</f>
        <v>1812.7450399999943</v>
      </c>
      <c r="W124" s="83" t="s">
        <v>138</v>
      </c>
      <c r="X124" s="83" t="s">
        <v>138</v>
      </c>
      <c r="Y124" s="97">
        <v>-1607</v>
      </c>
      <c r="Z124" s="83" t="s">
        <v>138</v>
      </c>
      <c r="AA124" s="83" t="s">
        <v>138</v>
      </c>
      <c r="AB124" s="19"/>
    </row>
    <row r="125" spans="1:28" x14ac:dyDescent="0.25">
      <c r="A125" s="98"/>
      <c r="B125" s="25" t="s">
        <v>158</v>
      </c>
      <c r="C125" s="85">
        <v>167766.12783000001</v>
      </c>
      <c r="D125" s="83" t="s">
        <v>138</v>
      </c>
      <c r="E125" s="84" t="s">
        <v>138</v>
      </c>
      <c r="F125" s="85">
        <v>254636.20761000001</v>
      </c>
      <c r="G125" s="83" t="s">
        <v>138</v>
      </c>
      <c r="H125" s="83" t="s">
        <v>138</v>
      </c>
      <c r="I125" s="92">
        <f>244354.89662-F125</f>
        <v>-10281.310989999998</v>
      </c>
      <c r="J125" s="83" t="s">
        <v>138</v>
      </c>
      <c r="K125" s="83" t="s">
        <v>138</v>
      </c>
      <c r="L125" s="83" t="s">
        <v>138</v>
      </c>
      <c r="M125" s="83" t="s">
        <v>138</v>
      </c>
      <c r="N125" s="83" t="s">
        <v>138</v>
      </c>
      <c r="O125" s="83" t="s">
        <v>138</v>
      </c>
      <c r="P125" s="90" t="s">
        <v>138</v>
      </c>
      <c r="Q125" s="90" t="s">
        <v>138</v>
      </c>
      <c r="R125" s="19"/>
      <c r="S125" s="92">
        <f>320726.15068-S124</f>
        <v>318913.80564000004</v>
      </c>
      <c r="T125" s="90" t="s">
        <v>138</v>
      </c>
      <c r="U125" s="90" t="s">
        <v>138</v>
      </c>
      <c r="V125" s="92">
        <f>S125+X105+V113</f>
        <v>283895.83767000004</v>
      </c>
      <c r="W125" s="83" t="s">
        <v>138</v>
      </c>
      <c r="X125" s="83" t="s">
        <v>138</v>
      </c>
      <c r="Y125" s="92">
        <f>2107+447</f>
        <v>2554</v>
      </c>
      <c r="Z125" s="83" t="s">
        <v>138</v>
      </c>
      <c r="AA125" s="83" t="s">
        <v>138</v>
      </c>
      <c r="AB125" s="19"/>
    </row>
    <row r="126" spans="1:28" x14ac:dyDescent="0.25">
      <c r="A126" s="98"/>
      <c r="B126" s="25" t="s">
        <v>7</v>
      </c>
      <c r="C126" s="85"/>
      <c r="D126" s="83"/>
      <c r="E126" s="84"/>
      <c r="F126" s="85"/>
      <c r="G126" s="83"/>
      <c r="H126" s="83"/>
      <c r="I126" s="92"/>
      <c r="J126" s="83"/>
      <c r="K126" s="83"/>
      <c r="L126" s="83"/>
      <c r="M126" s="83"/>
      <c r="N126" s="83"/>
      <c r="O126" s="83"/>
      <c r="P126" s="90"/>
      <c r="Q126" s="90"/>
      <c r="R126" s="19"/>
      <c r="S126" s="92"/>
      <c r="T126" s="90"/>
      <c r="U126" s="90"/>
      <c r="V126" s="92"/>
      <c r="W126" s="83"/>
      <c r="X126" s="83"/>
      <c r="Y126" s="92"/>
      <c r="Z126" s="83"/>
      <c r="AA126" s="83"/>
      <c r="AB126" s="19"/>
    </row>
    <row r="127" spans="1:28" ht="51.75" x14ac:dyDescent="0.25">
      <c r="A127" s="99"/>
      <c r="B127" s="21" t="s">
        <v>159</v>
      </c>
      <c r="C127" s="85">
        <f>1274+3000+45.15066</f>
        <v>4319.1506600000002</v>
      </c>
      <c r="D127" s="83" t="s">
        <v>138</v>
      </c>
      <c r="E127" s="84" t="s">
        <v>138</v>
      </c>
      <c r="F127" s="85">
        <f>12485+150+150+100-72.69231+120-5609.06801+1274</f>
        <v>8597.2396799999988</v>
      </c>
      <c r="G127" s="83" t="s">
        <v>138</v>
      </c>
      <c r="H127" s="83" t="s">
        <v>138</v>
      </c>
      <c r="I127" s="92">
        <f>1274+3.03437+3.9292+120+22.87671+22.87671+3000+1488.04885-F127</f>
        <v>-2662.4738399999987</v>
      </c>
      <c r="J127" s="83" t="s">
        <v>138</v>
      </c>
      <c r="K127" s="83" t="s">
        <v>138</v>
      </c>
      <c r="L127" s="83" t="s">
        <v>138</v>
      </c>
      <c r="M127" s="83" t="s">
        <v>138</v>
      </c>
      <c r="N127" s="83" t="s">
        <v>138</v>
      </c>
      <c r="O127" s="83" t="s">
        <v>138</v>
      </c>
      <c r="P127" s="90" t="s">
        <v>138</v>
      </c>
      <c r="Q127" s="90" t="s">
        <v>138</v>
      </c>
      <c r="R127" s="19"/>
      <c r="S127" s="92">
        <f>1619.67856</f>
        <v>1619.6785600000001</v>
      </c>
      <c r="T127" s="90" t="s">
        <v>138</v>
      </c>
      <c r="U127" s="90" t="s">
        <v>138</v>
      </c>
      <c r="V127" s="92">
        <v>1274</v>
      </c>
      <c r="W127" s="83" t="s">
        <v>138</v>
      </c>
      <c r="X127" s="83" t="s">
        <v>138</v>
      </c>
      <c r="Y127" s="92">
        <v>0</v>
      </c>
      <c r="Z127" s="83" t="s">
        <v>138</v>
      </c>
      <c r="AA127" s="83" t="s">
        <v>138</v>
      </c>
      <c r="AB127" s="19"/>
    </row>
    <row r="128" spans="1:28" ht="26.25" x14ac:dyDescent="0.25">
      <c r="A128" s="93" t="s">
        <v>160</v>
      </c>
      <c r="B128" s="82" t="s">
        <v>161</v>
      </c>
      <c r="C128" s="92">
        <v>0</v>
      </c>
      <c r="D128" s="85"/>
      <c r="E128" s="100"/>
      <c r="F128" s="85">
        <v>0</v>
      </c>
      <c r="G128" s="85"/>
      <c r="H128" s="85"/>
      <c r="I128" s="85">
        <v>0</v>
      </c>
      <c r="J128" s="85"/>
      <c r="K128" s="85"/>
      <c r="L128" s="83" t="s">
        <v>138</v>
      </c>
      <c r="M128" s="83" t="s">
        <v>138</v>
      </c>
      <c r="N128" s="83" t="s">
        <v>138</v>
      </c>
      <c r="O128" s="83" t="s">
        <v>138</v>
      </c>
      <c r="P128" s="83" t="s">
        <v>138</v>
      </c>
      <c r="Q128" s="83" t="s">
        <v>138</v>
      </c>
      <c r="R128" s="101" t="s">
        <v>138</v>
      </c>
      <c r="S128" s="92"/>
      <c r="T128" s="92"/>
      <c r="U128" s="92"/>
      <c r="V128" s="92"/>
      <c r="W128" s="92"/>
      <c r="X128" s="92"/>
      <c r="Y128" s="92"/>
      <c r="Z128" s="92"/>
      <c r="AA128" s="92"/>
      <c r="AB128" s="19" t="e">
        <f t="shared" si="91"/>
        <v>#DIV/0!</v>
      </c>
    </row>
    <row r="129" spans="1:28" x14ac:dyDescent="0.25">
      <c r="A129" s="93" t="s">
        <v>162</v>
      </c>
      <c r="B129" s="102" t="s">
        <v>163</v>
      </c>
      <c r="C129" s="103">
        <f>SUM(C130:C143)</f>
        <v>2657311.2247799998</v>
      </c>
      <c r="D129" s="103">
        <f t="shared" ref="D129:Z129" si="111">SUM(D130:D143)</f>
        <v>1530265.3523199998</v>
      </c>
      <c r="E129" s="104">
        <f>C129-D129</f>
        <v>1127045.87246</v>
      </c>
      <c r="F129" s="103">
        <f t="shared" si="111"/>
        <v>1588431.4414599999</v>
      </c>
      <c r="G129" s="103">
        <f t="shared" si="111"/>
        <v>868272.77499000018</v>
      </c>
      <c r="H129" s="104">
        <f>F129-G129</f>
        <v>720158.66646999971</v>
      </c>
      <c r="I129" s="103">
        <f t="shared" si="111"/>
        <v>179609.32261000006</v>
      </c>
      <c r="J129" s="103">
        <f t="shared" si="111"/>
        <v>94012.797589999944</v>
      </c>
      <c r="K129" s="104">
        <f>I129-J129</f>
        <v>85596.525020000117</v>
      </c>
      <c r="L129" s="103">
        <f>SUM(L130:L143)</f>
        <v>3154742.8476699996</v>
      </c>
      <c r="M129" s="103">
        <f t="shared" si="111"/>
        <v>1871812.6376099999</v>
      </c>
      <c r="N129" s="104">
        <f>L129-M129</f>
        <v>1282930.2100599997</v>
      </c>
      <c r="O129" s="103">
        <f t="shared" si="111"/>
        <v>3499090.0529400003</v>
      </c>
      <c r="P129" s="103">
        <f t="shared" si="111"/>
        <v>2076937.6889900002</v>
      </c>
      <c r="Q129" s="104">
        <f>O129-P129</f>
        <v>1422152.3639500001</v>
      </c>
      <c r="R129" s="19">
        <f t="shared" ref="R129:R144" si="112">Q129/E129</f>
        <v>1.2618407100377131</v>
      </c>
      <c r="S129" s="105">
        <f t="shared" si="111"/>
        <v>1949862.7447699998</v>
      </c>
      <c r="T129" s="105">
        <f t="shared" si="111"/>
        <v>1130821.72116</v>
      </c>
      <c r="U129" s="104">
        <f>S129-T129</f>
        <v>819041.0236099998</v>
      </c>
      <c r="V129" s="105">
        <f t="shared" si="111"/>
        <v>351942.95</v>
      </c>
      <c r="W129" s="105">
        <f t="shared" si="111"/>
        <v>194746.2</v>
      </c>
      <c r="X129" s="104">
        <f>V129-W129</f>
        <v>157196.75</v>
      </c>
      <c r="Y129" s="105">
        <f t="shared" si="111"/>
        <v>3526171.7082600002</v>
      </c>
      <c r="Z129" s="105">
        <f t="shared" si="111"/>
        <v>2106126.3443100001</v>
      </c>
      <c r="AA129" s="104">
        <f>Y129-Z129</f>
        <v>1420045.3639500001</v>
      </c>
      <c r="AB129" s="19">
        <f t="shared" si="91"/>
        <v>1.2599712209144345</v>
      </c>
    </row>
    <row r="130" spans="1:28" x14ac:dyDescent="0.25">
      <c r="A130" s="106"/>
      <c r="B130" s="107" t="s">
        <v>164</v>
      </c>
      <c r="C130" s="108">
        <v>333725.59876000002</v>
      </c>
      <c r="D130" s="108">
        <v>3779.2215299999998</v>
      </c>
      <c r="E130" s="104">
        <f>C130-D130</f>
        <v>329946.37723000004</v>
      </c>
      <c r="F130" s="111">
        <f>208827.23531</f>
        <v>208827.23530999999</v>
      </c>
      <c r="G130" s="111">
        <f>914.19956</f>
        <v>914.19956000000002</v>
      </c>
      <c r="H130" s="104">
        <f>F130-G130</f>
        <v>207913.03574999998</v>
      </c>
      <c r="I130" s="111">
        <f>237584.27766-F130</f>
        <v>28757.042350000003</v>
      </c>
      <c r="J130" s="111">
        <f>2647.8865-G130</f>
        <v>1733.68694</v>
      </c>
      <c r="K130" s="104">
        <f>I130-J130</f>
        <v>27023.355410000004</v>
      </c>
      <c r="L130" s="109">
        <v>346772.72587999998</v>
      </c>
      <c r="M130" s="109">
        <v>2509.8608800000002</v>
      </c>
      <c r="N130" s="104">
        <f>L130-M130</f>
        <v>344262.86499999999</v>
      </c>
      <c r="O130" s="110">
        <v>374732.86638999998</v>
      </c>
      <c r="P130" s="110">
        <v>2223.7422200000001</v>
      </c>
      <c r="Q130" s="104">
        <f>O130-P130</f>
        <v>372509.12416999997</v>
      </c>
      <c r="R130" s="19">
        <f t="shared" si="112"/>
        <v>1.1289989824932376</v>
      </c>
      <c r="S130" s="111">
        <v>214525.94454999999</v>
      </c>
      <c r="T130" s="111">
        <v>1839.9253900000001</v>
      </c>
      <c r="U130" s="104">
        <f>S130-T130</f>
        <v>212686.01916</v>
      </c>
      <c r="V130" s="111">
        <v>32114.6</v>
      </c>
      <c r="W130" s="111">
        <v>115</v>
      </c>
      <c r="X130" s="104">
        <f>V130-W130</f>
        <v>31999.599999999999</v>
      </c>
      <c r="Y130" s="111">
        <f>O130-8051-100+8051-2107</f>
        <v>372525.86638999998</v>
      </c>
      <c r="Z130" s="111">
        <f>P130</f>
        <v>2223.7422200000001</v>
      </c>
      <c r="AA130" s="104">
        <f>Y130-Z130</f>
        <v>370302.12416999997</v>
      </c>
      <c r="AB130" s="19">
        <f t="shared" si="91"/>
        <v>1.1223100167936337</v>
      </c>
    </row>
    <row r="131" spans="1:28" x14ac:dyDescent="0.25">
      <c r="A131" s="106"/>
      <c r="B131" s="112" t="s">
        <v>165</v>
      </c>
      <c r="C131" s="108">
        <v>0</v>
      </c>
      <c r="D131" s="108">
        <v>0</v>
      </c>
      <c r="E131" s="104">
        <f t="shared" ref="E131:E143" si="113">C131-D131</f>
        <v>0</v>
      </c>
      <c r="F131" s="96"/>
      <c r="G131" s="96"/>
      <c r="H131" s="104">
        <f t="shared" ref="H131:H143" si="114">F131-G131</f>
        <v>0</v>
      </c>
      <c r="I131" s="96"/>
      <c r="J131" s="96"/>
      <c r="K131" s="104">
        <f t="shared" ref="K131:K143" si="115">I131-J131</f>
        <v>0</v>
      </c>
      <c r="L131" s="113">
        <v>2052.6</v>
      </c>
      <c r="M131" s="113">
        <f>L131</f>
        <v>2052.6</v>
      </c>
      <c r="N131" s="104">
        <f t="shared" ref="N131:N143" si="116">L131-M131</f>
        <v>0</v>
      </c>
      <c r="O131" s="114">
        <v>2052.6</v>
      </c>
      <c r="P131" s="114">
        <v>2052.6</v>
      </c>
      <c r="Q131" s="104">
        <f t="shared" ref="Q131:Q143" si="117">O131-P131</f>
        <v>0</v>
      </c>
      <c r="R131" s="19" t="e">
        <f t="shared" si="112"/>
        <v>#DIV/0!</v>
      </c>
      <c r="S131" s="96">
        <v>906.34073000000001</v>
      </c>
      <c r="T131" s="96">
        <v>906.34073000000001</v>
      </c>
      <c r="U131" s="104">
        <f t="shared" ref="U131:U143" si="118">S131-T131</f>
        <v>0</v>
      </c>
      <c r="V131" s="111">
        <v>241.3</v>
      </c>
      <c r="W131" s="111">
        <f>V131</f>
        <v>241.3</v>
      </c>
      <c r="X131" s="104">
        <f t="shared" ref="X131:X143" si="119">V131-W131</f>
        <v>0</v>
      </c>
      <c r="Y131" s="111">
        <f>O131+100</f>
        <v>2152.6</v>
      </c>
      <c r="Z131" s="111">
        <f t="shared" ref="Z131:Z142" si="120">P131</f>
        <v>2052.6</v>
      </c>
      <c r="AA131" s="104">
        <f t="shared" ref="AA131:AA142" si="121">Y131-Z131</f>
        <v>100</v>
      </c>
      <c r="AB131" s="19" t="e">
        <f t="shared" si="91"/>
        <v>#DIV/0!</v>
      </c>
    </row>
    <row r="132" spans="1:28" x14ac:dyDescent="0.25">
      <c r="A132" s="106"/>
      <c r="B132" s="112" t="s">
        <v>166</v>
      </c>
      <c r="C132" s="96">
        <v>14079.20385</v>
      </c>
      <c r="D132" s="96">
        <v>2370.2378199999998</v>
      </c>
      <c r="E132" s="104">
        <f t="shared" si="113"/>
        <v>11708.96603</v>
      </c>
      <c r="F132" s="96">
        <f>9027.99428</f>
        <v>9027.9942800000008</v>
      </c>
      <c r="G132" s="96">
        <f>1585.70779</f>
        <v>1585.7077899999999</v>
      </c>
      <c r="H132" s="104">
        <f t="shared" si="114"/>
        <v>7442.2864900000004</v>
      </c>
      <c r="I132" s="96">
        <f>10164.40896-F132</f>
        <v>1136.4146799999999</v>
      </c>
      <c r="J132" s="96">
        <f>1860.73139-G132</f>
        <v>275.02359999999999</v>
      </c>
      <c r="K132" s="104">
        <f t="shared" si="115"/>
        <v>861.39107999999987</v>
      </c>
      <c r="L132" s="113">
        <v>16967.189999999999</v>
      </c>
      <c r="M132" s="113">
        <v>2833.39</v>
      </c>
      <c r="N132" s="104">
        <f t="shared" si="116"/>
        <v>14133.8</v>
      </c>
      <c r="O132" s="114">
        <v>16181.361999999999</v>
      </c>
      <c r="P132" s="114">
        <v>2833.39</v>
      </c>
      <c r="Q132" s="104">
        <f t="shared" si="117"/>
        <v>13347.972</v>
      </c>
      <c r="R132" s="19">
        <f t="shared" si="112"/>
        <v>1.1399787108272958</v>
      </c>
      <c r="S132" s="96">
        <v>10137.351629999999</v>
      </c>
      <c r="T132" s="96">
        <v>2006.0480500000001</v>
      </c>
      <c r="U132" s="104">
        <f t="shared" si="118"/>
        <v>8131.3035799999989</v>
      </c>
      <c r="V132" s="111">
        <v>2514.3000000000002</v>
      </c>
      <c r="W132" s="111">
        <v>57</v>
      </c>
      <c r="X132" s="104">
        <f t="shared" si="119"/>
        <v>2457.3000000000002</v>
      </c>
      <c r="Y132" s="111">
        <f t="shared" ref="Y132:Y142" si="122">O132</f>
        <v>16181.361999999999</v>
      </c>
      <c r="Z132" s="111">
        <f t="shared" si="120"/>
        <v>2833.39</v>
      </c>
      <c r="AA132" s="104">
        <f t="shared" si="121"/>
        <v>13347.972</v>
      </c>
      <c r="AB132" s="19">
        <f t="shared" si="91"/>
        <v>1.1399787108272958</v>
      </c>
    </row>
    <row r="133" spans="1:28" x14ac:dyDescent="0.25">
      <c r="A133" s="106"/>
      <c r="B133" s="112" t="s">
        <v>167</v>
      </c>
      <c r="C133" s="114">
        <v>134711.35086999999</v>
      </c>
      <c r="D133" s="114">
        <v>56200.570729999999</v>
      </c>
      <c r="E133" s="104">
        <f t="shared" si="113"/>
        <v>78510.780139999988</v>
      </c>
      <c r="F133" s="96">
        <f>66367.8982</f>
        <v>66367.898199999996</v>
      </c>
      <c r="G133" s="96">
        <f>28801.89205</f>
        <v>28801.892049999999</v>
      </c>
      <c r="H133" s="104">
        <f t="shared" si="114"/>
        <v>37566.006150000001</v>
      </c>
      <c r="I133" s="96">
        <f>99773.82807-F133</f>
        <v>33405.929870000007</v>
      </c>
      <c r="J133" s="96">
        <f>44989.21911-G133</f>
        <v>16187.32706</v>
      </c>
      <c r="K133" s="104">
        <f t="shared" si="115"/>
        <v>17218.602810000008</v>
      </c>
      <c r="L133" s="113">
        <v>121043.29444</v>
      </c>
      <c r="M133" s="113">
        <v>58544.159440000003</v>
      </c>
      <c r="N133" s="104">
        <f t="shared" si="116"/>
        <v>62499.134999999995</v>
      </c>
      <c r="O133" s="114">
        <v>159155.57733999999</v>
      </c>
      <c r="P133" s="114">
        <v>74926.723939999996</v>
      </c>
      <c r="Q133" s="104">
        <f t="shared" si="117"/>
        <v>84228.853399999993</v>
      </c>
      <c r="R133" s="19">
        <f t="shared" si="112"/>
        <v>1.0728316958486919</v>
      </c>
      <c r="S133" s="96">
        <v>80592.193140000003</v>
      </c>
      <c r="T133" s="96">
        <v>30476.83815</v>
      </c>
      <c r="U133" s="104">
        <f t="shared" si="118"/>
        <v>50115.354990000007</v>
      </c>
      <c r="V133" s="111">
        <v>34512.300000000003</v>
      </c>
      <c r="W133" s="111">
        <f>428+28415.2</f>
        <v>28843.200000000001</v>
      </c>
      <c r="X133" s="104">
        <f t="shared" si="119"/>
        <v>5669.1000000000022</v>
      </c>
      <c r="Y133" s="111">
        <f t="shared" si="122"/>
        <v>159155.57733999999</v>
      </c>
      <c r="Z133" s="111">
        <f t="shared" si="120"/>
        <v>74926.723939999996</v>
      </c>
      <c r="AA133" s="104">
        <f t="shared" si="121"/>
        <v>84228.853399999993</v>
      </c>
      <c r="AB133" s="19">
        <f t="shared" si="91"/>
        <v>1.0728316958486919</v>
      </c>
    </row>
    <row r="134" spans="1:28" x14ac:dyDescent="0.25">
      <c r="A134" s="106"/>
      <c r="B134" s="112" t="s">
        <v>168</v>
      </c>
      <c r="C134" s="114">
        <v>279873.69695999997</v>
      </c>
      <c r="D134" s="114">
        <v>148239.31185</v>
      </c>
      <c r="E134" s="104">
        <f t="shared" si="113"/>
        <v>131634.38510999997</v>
      </c>
      <c r="F134" s="96">
        <f>132411.3112</f>
        <v>132411.3112</v>
      </c>
      <c r="G134" s="96">
        <f>73482.1858</f>
        <v>73482.185800000007</v>
      </c>
      <c r="H134" s="104">
        <f t="shared" si="114"/>
        <v>58929.12539999999</v>
      </c>
      <c r="I134" s="96">
        <f>166842.59389-F134</f>
        <v>34431.282689999993</v>
      </c>
      <c r="J134" s="96">
        <f>97154.07883-G134</f>
        <v>23671.893029999992</v>
      </c>
      <c r="K134" s="104">
        <f t="shared" si="115"/>
        <v>10759.389660000001</v>
      </c>
      <c r="L134" s="113">
        <v>401040.66369999998</v>
      </c>
      <c r="M134" s="113">
        <v>173427.26370000001</v>
      </c>
      <c r="N134" s="104">
        <f t="shared" si="116"/>
        <v>227613.39999999997</v>
      </c>
      <c r="O134" s="114">
        <v>647683.85179999995</v>
      </c>
      <c r="P134" s="114">
        <v>363764.04243999999</v>
      </c>
      <c r="Q134" s="104">
        <f t="shared" si="117"/>
        <v>283919.80935999996</v>
      </c>
      <c r="R134" s="19">
        <f t="shared" si="112"/>
        <v>2.1568817989520217</v>
      </c>
      <c r="S134" s="96">
        <v>287928.90895999997</v>
      </c>
      <c r="T134" s="96">
        <v>151995.03443</v>
      </c>
      <c r="U134" s="104">
        <f t="shared" si="118"/>
        <v>135933.87452999997</v>
      </c>
      <c r="V134" s="111">
        <f>137415.2-19633</f>
        <v>117782.20000000001</v>
      </c>
      <c r="W134" s="111">
        <f>75741.3-19134</f>
        <v>56607.3</v>
      </c>
      <c r="X134" s="104">
        <f t="shared" si="119"/>
        <v>61174.900000000009</v>
      </c>
      <c r="Y134" s="111">
        <f>O134+30182-993.34468</f>
        <v>676872.50711999997</v>
      </c>
      <c r="Z134" s="111">
        <f>P134-993.34468+30182</f>
        <v>392952.69776000001</v>
      </c>
      <c r="AA134" s="104">
        <f t="shared" si="121"/>
        <v>283919.80935999996</v>
      </c>
      <c r="AB134" s="19">
        <f t="shared" si="91"/>
        <v>2.1568817989520217</v>
      </c>
    </row>
    <row r="135" spans="1:28" x14ac:dyDescent="0.25">
      <c r="A135" s="106"/>
      <c r="B135" s="112" t="s">
        <v>169</v>
      </c>
      <c r="C135" s="114">
        <v>6705.1715700000004</v>
      </c>
      <c r="D135" s="114">
        <v>3808.28</v>
      </c>
      <c r="E135" s="104">
        <f t="shared" si="113"/>
        <v>2896.8915700000002</v>
      </c>
      <c r="F135" s="96">
        <v>677.07299999999998</v>
      </c>
      <c r="G135" s="96">
        <v>0</v>
      </c>
      <c r="H135" s="104">
        <f t="shared" si="114"/>
        <v>677.07299999999998</v>
      </c>
      <c r="I135" s="96">
        <f>1265.57197-F135</f>
        <v>588.49896999999999</v>
      </c>
      <c r="J135" s="96"/>
      <c r="K135" s="104">
        <f t="shared" si="115"/>
        <v>588.49896999999999</v>
      </c>
      <c r="L135" s="113">
        <v>1500</v>
      </c>
      <c r="M135" s="113">
        <v>0</v>
      </c>
      <c r="N135" s="104">
        <f t="shared" si="116"/>
        <v>1500</v>
      </c>
      <c r="O135" s="114">
        <v>2917.2</v>
      </c>
      <c r="P135" s="114">
        <v>0</v>
      </c>
      <c r="Q135" s="104">
        <f t="shared" si="117"/>
        <v>2917.2</v>
      </c>
      <c r="R135" s="19">
        <f t="shared" si="112"/>
        <v>1.0070104211736166</v>
      </c>
      <c r="S135" s="96">
        <v>1011.2768</v>
      </c>
      <c r="T135" s="96">
        <v>0</v>
      </c>
      <c r="U135" s="104">
        <f t="shared" si="118"/>
        <v>1011.2768</v>
      </c>
      <c r="V135" s="111">
        <v>1500</v>
      </c>
      <c r="W135" s="111"/>
      <c r="X135" s="104">
        <f t="shared" si="119"/>
        <v>1500</v>
      </c>
      <c r="Y135" s="111">
        <f t="shared" si="122"/>
        <v>2917.2</v>
      </c>
      <c r="Z135" s="111">
        <f t="shared" si="120"/>
        <v>0</v>
      </c>
      <c r="AA135" s="104">
        <f t="shared" si="121"/>
        <v>2917.2</v>
      </c>
      <c r="AB135" s="19">
        <f t="shared" si="91"/>
        <v>1.0070104211736166</v>
      </c>
    </row>
    <row r="136" spans="1:28" x14ac:dyDescent="0.25">
      <c r="A136" s="106"/>
      <c r="B136" s="112" t="s">
        <v>170</v>
      </c>
      <c r="C136" s="114">
        <v>1420867.05167</v>
      </c>
      <c r="D136" s="114">
        <v>992955.64116999996</v>
      </c>
      <c r="E136" s="104">
        <f t="shared" si="113"/>
        <v>427911.4105</v>
      </c>
      <c r="F136" s="96">
        <f>957213.61879</f>
        <v>957213.61878999998</v>
      </c>
      <c r="G136" s="96">
        <f>648921.44761</f>
        <v>648921.44761000003</v>
      </c>
      <c r="H136" s="104">
        <f t="shared" si="114"/>
        <v>308292.17117999995</v>
      </c>
      <c r="I136" s="96">
        <f>1014860.6258-F136</f>
        <v>57647.007010000059</v>
      </c>
      <c r="J136" s="96">
        <f>684254.10754-G136</f>
        <v>35332.659929999965</v>
      </c>
      <c r="K136" s="104">
        <f t="shared" si="115"/>
        <v>22314.347080000094</v>
      </c>
      <c r="L136" s="113">
        <v>1533651.2949999999</v>
      </c>
      <c r="M136" s="113">
        <v>1069288.889</v>
      </c>
      <c r="N136" s="104">
        <f t="shared" si="116"/>
        <v>464362.40599999996</v>
      </c>
      <c r="O136" s="114">
        <v>1628162.2058699999</v>
      </c>
      <c r="P136" s="114">
        <v>1129467.8673099999</v>
      </c>
      <c r="Q136" s="104">
        <f t="shared" si="117"/>
        <v>498694.33856000006</v>
      </c>
      <c r="R136" s="19">
        <f t="shared" si="112"/>
        <v>1.1654149114119032</v>
      </c>
      <c r="S136" s="96">
        <v>1109386.8155499999</v>
      </c>
      <c r="T136" s="96">
        <v>791262.10007000004</v>
      </c>
      <c r="U136" s="104">
        <f t="shared" si="118"/>
        <v>318124.7154799999</v>
      </c>
      <c r="V136" s="111">
        <v>69745.600000000006</v>
      </c>
      <c r="W136" s="111">
        <f>63115.3-20000</f>
        <v>43115.3</v>
      </c>
      <c r="X136" s="104">
        <f t="shared" si="119"/>
        <v>26630.300000000003</v>
      </c>
      <c r="Y136" s="111">
        <f t="shared" si="122"/>
        <v>1628162.2058699999</v>
      </c>
      <c r="Z136" s="111">
        <f t="shared" si="120"/>
        <v>1129467.8673099999</v>
      </c>
      <c r="AA136" s="104">
        <f t="shared" si="121"/>
        <v>498694.33856000006</v>
      </c>
      <c r="AB136" s="19">
        <f t="shared" si="91"/>
        <v>1.1654149114119032</v>
      </c>
    </row>
    <row r="137" spans="1:28" x14ac:dyDescent="0.25">
      <c r="A137" s="106"/>
      <c r="B137" s="112" t="s">
        <v>171</v>
      </c>
      <c r="C137" s="114">
        <v>287620.04645999998</v>
      </c>
      <c r="D137" s="114">
        <v>211138.66977000001</v>
      </c>
      <c r="E137" s="104">
        <f t="shared" si="113"/>
        <v>76481.376689999975</v>
      </c>
      <c r="F137" s="96">
        <f>107712.3335</f>
        <v>107712.33349999999</v>
      </c>
      <c r="G137" s="96">
        <f>52702.03216</f>
        <v>52702.032160000002</v>
      </c>
      <c r="H137" s="104">
        <f t="shared" si="114"/>
        <v>55010.301339999991</v>
      </c>
      <c r="I137" s="96">
        <f>120301.5662-F137</f>
        <v>12589.232700000008</v>
      </c>
      <c r="J137" s="96">
        <f>62629.63199-G137</f>
        <v>9927.5998299999992</v>
      </c>
      <c r="K137" s="104">
        <f t="shared" si="115"/>
        <v>2661.6328700000086</v>
      </c>
      <c r="L137" s="113">
        <v>503521.84064000001</v>
      </c>
      <c r="M137" s="113">
        <v>417298.83658</v>
      </c>
      <c r="N137" s="104">
        <f t="shared" si="116"/>
        <v>86223.004060000007</v>
      </c>
      <c r="O137" s="114">
        <v>442972.97512999998</v>
      </c>
      <c r="P137" s="114">
        <v>354022.48223999998</v>
      </c>
      <c r="Q137" s="104">
        <f t="shared" si="117"/>
        <v>88950.492889999994</v>
      </c>
      <c r="R137" s="19">
        <f t="shared" si="112"/>
        <v>1.1630346724868823</v>
      </c>
      <c r="S137" s="96">
        <v>113052.05431000001</v>
      </c>
      <c r="T137" s="96">
        <v>63441.782189999998</v>
      </c>
      <c r="U137" s="104">
        <f t="shared" si="118"/>
        <v>49610.272120000009</v>
      </c>
      <c r="V137" s="111">
        <v>47226.3</v>
      </c>
      <c r="W137" s="111">
        <v>33814.300000000003</v>
      </c>
      <c r="X137" s="104">
        <f t="shared" si="119"/>
        <v>13412</v>
      </c>
      <c r="Y137" s="111">
        <f t="shared" si="122"/>
        <v>442972.97512999998</v>
      </c>
      <c r="Z137" s="111">
        <f t="shared" si="120"/>
        <v>354022.48223999998</v>
      </c>
      <c r="AA137" s="104">
        <f t="shared" si="121"/>
        <v>88950.492889999994</v>
      </c>
      <c r="AB137" s="19">
        <f t="shared" si="91"/>
        <v>1.1630346724868823</v>
      </c>
    </row>
    <row r="138" spans="1:28" x14ac:dyDescent="0.25">
      <c r="A138" s="106"/>
      <c r="B138" s="112" t="s">
        <v>172</v>
      </c>
      <c r="C138" s="114"/>
      <c r="D138" s="114"/>
      <c r="E138" s="104">
        <f t="shared" si="113"/>
        <v>0</v>
      </c>
      <c r="F138" s="96"/>
      <c r="G138" s="96"/>
      <c r="H138" s="104">
        <f t="shared" si="114"/>
        <v>0</v>
      </c>
      <c r="I138" s="96"/>
      <c r="J138" s="96"/>
      <c r="K138" s="104">
        <f t="shared" si="115"/>
        <v>0</v>
      </c>
      <c r="L138" s="113"/>
      <c r="M138" s="113"/>
      <c r="N138" s="104">
        <f t="shared" si="116"/>
        <v>0</v>
      </c>
      <c r="O138" s="114"/>
      <c r="P138" s="114"/>
      <c r="Q138" s="104">
        <f t="shared" si="117"/>
        <v>0</v>
      </c>
      <c r="R138" s="19" t="e">
        <f t="shared" si="112"/>
        <v>#DIV/0!</v>
      </c>
      <c r="S138" s="96"/>
      <c r="T138" s="96"/>
      <c r="U138" s="104">
        <f t="shared" si="118"/>
        <v>0</v>
      </c>
      <c r="V138" s="111"/>
      <c r="W138" s="111"/>
      <c r="X138" s="104">
        <f t="shared" si="119"/>
        <v>0</v>
      </c>
      <c r="Y138" s="111"/>
      <c r="Z138" s="111"/>
      <c r="AA138" s="104">
        <f t="shared" si="121"/>
        <v>0</v>
      </c>
      <c r="AB138" s="19" t="e">
        <f t="shared" si="91"/>
        <v>#DIV/0!</v>
      </c>
    </row>
    <row r="139" spans="1:28" x14ac:dyDescent="0.25">
      <c r="A139" s="106"/>
      <c r="B139" s="112" t="s">
        <v>173</v>
      </c>
      <c r="C139" s="114">
        <v>78078.757140000002</v>
      </c>
      <c r="D139" s="114">
        <v>73052.706779999993</v>
      </c>
      <c r="E139" s="104">
        <f t="shared" si="113"/>
        <v>5026.0503600000084</v>
      </c>
      <c r="F139" s="96">
        <f>54988.38852</f>
        <v>54988.38852</v>
      </c>
      <c r="G139" s="96">
        <f>51778.72475</f>
        <v>51778.724750000001</v>
      </c>
      <c r="H139" s="104">
        <f t="shared" si="114"/>
        <v>3209.6637699999992</v>
      </c>
      <c r="I139" s="96">
        <f>61437.95574-F139</f>
        <v>6449.5672199999972</v>
      </c>
      <c r="J139" s="96">
        <f>57822.40157-G139</f>
        <v>6043.6768200000006</v>
      </c>
      <c r="K139" s="104">
        <f t="shared" si="115"/>
        <v>405.89039999999659</v>
      </c>
      <c r="L139" s="113">
        <v>91284.486000000004</v>
      </c>
      <c r="M139" s="113">
        <v>86407.785999999993</v>
      </c>
      <c r="N139" s="104">
        <f t="shared" si="116"/>
        <v>4876.7000000000116</v>
      </c>
      <c r="O139" s="114">
        <v>91691.486000000004</v>
      </c>
      <c r="P139" s="114">
        <v>86407.785999999993</v>
      </c>
      <c r="Q139" s="104">
        <f t="shared" si="117"/>
        <v>5283.7000000000116</v>
      </c>
      <c r="R139" s="19">
        <f t="shared" si="112"/>
        <v>1.0512628448872134</v>
      </c>
      <c r="S139" s="96">
        <v>61649.606229999998</v>
      </c>
      <c r="T139" s="96">
        <v>58268.838069999998</v>
      </c>
      <c r="U139" s="104">
        <f t="shared" si="118"/>
        <v>3380.7681599999996</v>
      </c>
      <c r="V139" s="111">
        <v>6745.3</v>
      </c>
      <c r="W139" s="111">
        <v>6474.5</v>
      </c>
      <c r="X139" s="104">
        <f t="shared" si="119"/>
        <v>270.80000000000018</v>
      </c>
      <c r="Y139" s="111">
        <f t="shared" si="122"/>
        <v>91691.486000000004</v>
      </c>
      <c r="Z139" s="111">
        <f t="shared" si="120"/>
        <v>86407.785999999993</v>
      </c>
      <c r="AA139" s="104">
        <f t="shared" si="121"/>
        <v>5283.7000000000116</v>
      </c>
      <c r="AB139" s="19">
        <f t="shared" si="91"/>
        <v>1.0512628448872134</v>
      </c>
    </row>
    <row r="140" spans="1:28" x14ac:dyDescent="0.25">
      <c r="A140" s="106"/>
      <c r="B140" s="112" t="s">
        <v>174</v>
      </c>
      <c r="C140" s="114">
        <v>93431.472309999997</v>
      </c>
      <c r="D140" s="114">
        <v>38720.712670000001</v>
      </c>
      <c r="E140" s="104">
        <f t="shared" si="113"/>
        <v>54710.759639999997</v>
      </c>
      <c r="F140" s="96">
        <f>45979.18284</f>
        <v>45979.182840000001</v>
      </c>
      <c r="G140" s="96">
        <f>10086.58527</f>
        <v>10086.58527</v>
      </c>
      <c r="H140" s="104">
        <f>F140-G140</f>
        <v>35892.597569999998</v>
      </c>
      <c r="I140" s="96">
        <f>50009.58806-F140</f>
        <v>4030.4052200000006</v>
      </c>
      <c r="J140" s="96">
        <f>10927.51565-G140</f>
        <v>840.93037999999979</v>
      </c>
      <c r="K140" s="104">
        <f t="shared" si="115"/>
        <v>3189.4748400000008</v>
      </c>
      <c r="L140" s="113">
        <v>129645.85201</v>
      </c>
      <c r="M140" s="113">
        <v>59449.852010000002</v>
      </c>
      <c r="N140" s="104">
        <f t="shared" si="116"/>
        <v>70196</v>
      </c>
      <c r="O140" s="114">
        <v>126862.92840999999</v>
      </c>
      <c r="P140" s="114">
        <v>61239.054839999997</v>
      </c>
      <c r="Q140" s="104">
        <f t="shared" si="117"/>
        <v>65623.873569999996</v>
      </c>
      <c r="R140" s="19">
        <f t="shared" si="112"/>
        <v>1.1994692452053111</v>
      </c>
      <c r="S140" s="96">
        <v>65309.575929999999</v>
      </c>
      <c r="T140" s="96">
        <v>30624.81408</v>
      </c>
      <c r="U140" s="104">
        <f t="shared" si="118"/>
        <v>34684.761849999995</v>
      </c>
      <c r="V140" s="111">
        <v>38956.300000000003</v>
      </c>
      <c r="W140" s="111">
        <f>25478.3</f>
        <v>25478.3</v>
      </c>
      <c r="X140" s="104">
        <f t="shared" si="119"/>
        <v>13478.000000000004</v>
      </c>
      <c r="Y140" s="111">
        <f t="shared" si="122"/>
        <v>126862.92840999999</v>
      </c>
      <c r="Z140" s="111">
        <f t="shared" si="120"/>
        <v>61239.054839999997</v>
      </c>
      <c r="AA140" s="104">
        <f t="shared" si="121"/>
        <v>65623.873569999996</v>
      </c>
      <c r="AB140" s="19">
        <f t="shared" si="91"/>
        <v>1.1994692452053111</v>
      </c>
    </row>
    <row r="141" spans="1:28" x14ac:dyDescent="0.25">
      <c r="A141" s="106"/>
      <c r="B141" s="112" t="s">
        <v>175</v>
      </c>
      <c r="C141" s="114">
        <v>8100.8753800000004</v>
      </c>
      <c r="D141" s="114">
        <v>0</v>
      </c>
      <c r="E141" s="104">
        <f t="shared" si="113"/>
        <v>8100.8753800000004</v>
      </c>
      <c r="F141" s="96">
        <f>5226.40582</f>
        <v>5226.4058199999999</v>
      </c>
      <c r="G141" s="96">
        <v>0</v>
      </c>
      <c r="H141" s="104">
        <f t="shared" si="114"/>
        <v>5226.4058199999999</v>
      </c>
      <c r="I141" s="96">
        <f>5800.34772-F141</f>
        <v>573.94189999999981</v>
      </c>
      <c r="J141" s="96">
        <v>0</v>
      </c>
      <c r="K141" s="104">
        <f t="shared" si="115"/>
        <v>573.94189999999981</v>
      </c>
      <c r="L141" s="113">
        <v>7043.9</v>
      </c>
      <c r="M141" s="113">
        <v>0</v>
      </c>
      <c r="N141" s="104">
        <f t="shared" si="116"/>
        <v>7043.9</v>
      </c>
      <c r="O141" s="114">
        <v>6458</v>
      </c>
      <c r="P141" s="114"/>
      <c r="Q141" s="104">
        <f t="shared" si="117"/>
        <v>6458</v>
      </c>
      <c r="R141" s="19">
        <f t="shared" si="112"/>
        <v>0.79719779617199837</v>
      </c>
      <c r="S141" s="96">
        <v>5362.6769400000003</v>
      </c>
      <c r="T141" s="96"/>
      <c r="U141" s="104">
        <f t="shared" si="118"/>
        <v>5362.6769400000003</v>
      </c>
      <c r="V141" s="111">
        <v>604.75</v>
      </c>
      <c r="W141" s="111"/>
      <c r="X141" s="104">
        <f t="shared" si="119"/>
        <v>604.75</v>
      </c>
      <c r="Y141" s="111">
        <f t="shared" si="122"/>
        <v>6458</v>
      </c>
      <c r="Z141" s="111">
        <f t="shared" si="120"/>
        <v>0</v>
      </c>
      <c r="AA141" s="104">
        <f t="shared" si="121"/>
        <v>6458</v>
      </c>
      <c r="AB141" s="19">
        <f t="shared" si="91"/>
        <v>0.79719779617199837</v>
      </c>
    </row>
    <row r="142" spans="1:28" x14ac:dyDescent="0.25">
      <c r="A142" s="106"/>
      <c r="B142" s="112" t="s">
        <v>176</v>
      </c>
      <c r="C142" s="114">
        <v>117.99981</v>
      </c>
      <c r="D142" s="114">
        <v>0</v>
      </c>
      <c r="E142" s="104">
        <f t="shared" si="113"/>
        <v>117.99981</v>
      </c>
      <c r="F142" s="96"/>
      <c r="G142" s="96"/>
      <c r="H142" s="104">
        <f t="shared" si="114"/>
        <v>0</v>
      </c>
      <c r="I142" s="96"/>
      <c r="J142" s="96"/>
      <c r="K142" s="104">
        <f t="shared" si="115"/>
        <v>0</v>
      </c>
      <c r="L142" s="113">
        <v>219</v>
      </c>
      <c r="M142" s="113">
        <v>0</v>
      </c>
      <c r="N142" s="104">
        <f t="shared" si="116"/>
        <v>219</v>
      </c>
      <c r="O142" s="114">
        <v>219</v>
      </c>
      <c r="P142" s="114"/>
      <c r="Q142" s="104">
        <f t="shared" si="117"/>
        <v>219</v>
      </c>
      <c r="R142" s="19">
        <f t="shared" si="112"/>
        <v>1.8559351917600546</v>
      </c>
      <c r="S142" s="96">
        <v>0</v>
      </c>
      <c r="T142" s="96"/>
      <c r="U142" s="104">
        <f t="shared" si="118"/>
        <v>0</v>
      </c>
      <c r="V142" s="111"/>
      <c r="W142" s="111"/>
      <c r="X142" s="104">
        <f t="shared" si="119"/>
        <v>0</v>
      </c>
      <c r="Y142" s="111">
        <f t="shared" si="122"/>
        <v>219</v>
      </c>
      <c r="Z142" s="111">
        <f t="shared" si="120"/>
        <v>0</v>
      </c>
      <c r="AA142" s="104">
        <f t="shared" si="121"/>
        <v>219</v>
      </c>
      <c r="AB142" s="19">
        <f t="shared" si="91"/>
        <v>1.8559351917600546</v>
      </c>
    </row>
    <row r="143" spans="1:28" x14ac:dyDescent="0.25">
      <c r="A143" s="106"/>
      <c r="B143" s="112" t="s">
        <v>177</v>
      </c>
      <c r="C143" s="114"/>
      <c r="D143" s="114"/>
      <c r="E143" s="104">
        <f t="shared" si="113"/>
        <v>0</v>
      </c>
      <c r="F143" s="96"/>
      <c r="G143" s="96"/>
      <c r="H143" s="104">
        <f t="shared" si="114"/>
        <v>0</v>
      </c>
      <c r="I143" s="96"/>
      <c r="J143" s="96"/>
      <c r="K143" s="104">
        <f t="shared" si="115"/>
        <v>0</v>
      </c>
      <c r="L143" s="113"/>
      <c r="M143" s="113"/>
      <c r="N143" s="104">
        <f t="shared" si="116"/>
        <v>0</v>
      </c>
      <c r="O143" s="114"/>
      <c r="P143" s="114"/>
      <c r="Q143" s="104">
        <f t="shared" si="117"/>
        <v>0</v>
      </c>
      <c r="R143" s="19" t="e">
        <f t="shared" si="112"/>
        <v>#DIV/0!</v>
      </c>
      <c r="S143" s="96"/>
      <c r="T143" s="96"/>
      <c r="U143" s="104">
        <f t="shared" si="118"/>
        <v>0</v>
      </c>
      <c r="V143" s="111"/>
      <c r="W143" s="111"/>
      <c r="X143" s="104">
        <f t="shared" si="119"/>
        <v>0</v>
      </c>
      <c r="Y143" s="111"/>
      <c r="Z143" s="111"/>
      <c r="AA143" s="104"/>
      <c r="AB143" s="19" t="e">
        <f t="shared" si="91"/>
        <v>#DIV/0!</v>
      </c>
    </row>
    <row r="144" spans="1:28" x14ac:dyDescent="0.25">
      <c r="A144" s="106"/>
      <c r="B144" s="115" t="s">
        <v>178</v>
      </c>
      <c r="C144" s="116">
        <f>SUM(C130:C143)</f>
        <v>2657311.2247799998</v>
      </c>
      <c r="D144" s="116">
        <f t="shared" ref="D144:AA144" si="123">SUM(D130:D143)</f>
        <v>1530265.3523199998</v>
      </c>
      <c r="E144" s="117">
        <f t="shared" si="123"/>
        <v>1127045.8724600002</v>
      </c>
      <c r="F144" s="116">
        <f t="shared" si="123"/>
        <v>1588431.4414599999</v>
      </c>
      <c r="G144" s="116">
        <f t="shared" si="123"/>
        <v>868272.77499000018</v>
      </c>
      <c r="H144" s="116">
        <f t="shared" si="123"/>
        <v>720158.66646999982</v>
      </c>
      <c r="I144" s="116">
        <f t="shared" si="123"/>
        <v>179609.32261000006</v>
      </c>
      <c r="J144" s="116">
        <f t="shared" si="123"/>
        <v>94012.797589999944</v>
      </c>
      <c r="K144" s="116">
        <f t="shared" si="123"/>
        <v>85596.525020000132</v>
      </c>
      <c r="L144" s="116">
        <f t="shared" si="123"/>
        <v>3154742.8476699996</v>
      </c>
      <c r="M144" s="116">
        <f t="shared" si="123"/>
        <v>1871812.6376099999</v>
      </c>
      <c r="N144" s="116">
        <f t="shared" si="123"/>
        <v>1282930.2100599997</v>
      </c>
      <c r="O144" s="116">
        <f t="shared" si="123"/>
        <v>3499090.0529400003</v>
      </c>
      <c r="P144" s="116">
        <f t="shared" si="123"/>
        <v>2076937.6889900002</v>
      </c>
      <c r="Q144" s="116">
        <f t="shared" si="123"/>
        <v>1422152.3639499997</v>
      </c>
      <c r="R144" s="19">
        <f t="shared" si="112"/>
        <v>1.2618407100377123</v>
      </c>
      <c r="S144" s="116">
        <f t="shared" si="123"/>
        <v>1949862.7447699998</v>
      </c>
      <c r="T144" s="116">
        <f t="shared" si="123"/>
        <v>1130821.72116</v>
      </c>
      <c r="U144" s="116">
        <f t="shared" si="123"/>
        <v>819041.02360999992</v>
      </c>
      <c r="V144" s="116">
        <f t="shared" si="123"/>
        <v>351942.95</v>
      </c>
      <c r="W144" s="116">
        <f t="shared" si="123"/>
        <v>194746.2</v>
      </c>
      <c r="X144" s="116">
        <f t="shared" si="123"/>
        <v>157196.75</v>
      </c>
      <c r="Y144" s="116">
        <f t="shared" si="123"/>
        <v>3526171.7082600002</v>
      </c>
      <c r="Z144" s="116">
        <f t="shared" si="123"/>
        <v>2106126.3443100001</v>
      </c>
      <c r="AA144" s="116">
        <f t="shared" si="123"/>
        <v>1420045.3639499997</v>
      </c>
      <c r="AB144" s="19">
        <f t="shared" si="91"/>
        <v>1.2599712209144338</v>
      </c>
    </row>
    <row r="145" spans="1:28" x14ac:dyDescent="0.25">
      <c r="A145" s="106"/>
      <c r="B145" s="115" t="s">
        <v>179</v>
      </c>
      <c r="C145" s="118">
        <f t="shared" ref="C145:Q145" si="124">C104-C144</f>
        <v>1.7500000074505806E-2</v>
      </c>
      <c r="D145" s="118">
        <f t="shared" si="124"/>
        <v>1.0000308975577354E-5</v>
      </c>
      <c r="E145" s="118">
        <f t="shared" si="124"/>
        <v>1.7489999532699585E-2</v>
      </c>
      <c r="F145" s="118">
        <f t="shared" si="124"/>
        <v>-7.037999969907105E-2</v>
      </c>
      <c r="G145" s="118">
        <f t="shared" si="124"/>
        <v>0</v>
      </c>
      <c r="H145" s="118">
        <f t="shared" si="124"/>
        <v>-7.0379999582655728E-2</v>
      </c>
      <c r="I145" s="118">
        <f t="shared" si="124"/>
        <v>7.0379999902797863E-2</v>
      </c>
      <c r="J145" s="118">
        <f t="shared" si="124"/>
        <v>0</v>
      </c>
      <c r="K145" s="118">
        <f t="shared" si="124"/>
        <v>7.0379999830038287E-2</v>
      </c>
      <c r="L145" s="116">
        <f t="shared" si="124"/>
        <v>0</v>
      </c>
      <c r="M145" s="116">
        <f t="shared" si="124"/>
        <v>0</v>
      </c>
      <c r="N145" s="116">
        <f t="shared" si="124"/>
        <v>0</v>
      </c>
      <c r="O145" s="116">
        <f t="shared" si="124"/>
        <v>0</v>
      </c>
      <c r="P145" s="116">
        <f t="shared" si="124"/>
        <v>0</v>
      </c>
      <c r="Q145" s="116">
        <f t="shared" si="124"/>
        <v>0</v>
      </c>
      <c r="R145" s="119"/>
      <c r="S145" s="116">
        <f t="shared" ref="S145:AA145" si="125">S104-S144</f>
        <v>0</v>
      </c>
      <c r="T145" s="116">
        <f t="shared" si="125"/>
        <v>0</v>
      </c>
      <c r="U145" s="116">
        <f t="shared" si="125"/>
        <v>0</v>
      </c>
      <c r="V145" s="116">
        <f t="shared" si="125"/>
        <v>-0.26000000000931323</v>
      </c>
      <c r="W145" s="116">
        <f t="shared" si="125"/>
        <v>9.9999999976716936E-2</v>
      </c>
      <c r="X145" s="116">
        <f t="shared" si="125"/>
        <v>-0.35999999998603016</v>
      </c>
      <c r="Y145" s="116">
        <f t="shared" si="125"/>
        <v>0</v>
      </c>
      <c r="Z145" s="116">
        <f t="shared" si="125"/>
        <v>0</v>
      </c>
      <c r="AA145" s="116">
        <f t="shared" si="125"/>
        <v>0</v>
      </c>
      <c r="AB145" s="19"/>
    </row>
    <row r="146" spans="1:28" x14ac:dyDescent="0.25">
      <c r="A146" s="93" t="s">
        <v>180</v>
      </c>
      <c r="B146" s="120" t="s">
        <v>181</v>
      </c>
      <c r="C146" s="121"/>
      <c r="D146" s="122"/>
      <c r="E146" s="123"/>
      <c r="F146" s="123"/>
      <c r="G146" s="122"/>
      <c r="H146" s="122"/>
      <c r="I146" s="122"/>
      <c r="J146" s="122"/>
      <c r="K146" s="122"/>
      <c r="L146" s="124"/>
      <c r="M146" s="124"/>
      <c r="N146" s="124"/>
      <c r="O146" s="124"/>
      <c r="P146" s="124"/>
      <c r="Q146" s="124"/>
      <c r="R146" s="125"/>
      <c r="S146" s="126"/>
      <c r="T146" s="124"/>
      <c r="U146" s="124"/>
      <c r="V146" s="126"/>
      <c r="W146" s="124"/>
      <c r="X146" s="124"/>
      <c r="Y146" s="126"/>
      <c r="Z146" s="124"/>
      <c r="AA146" s="124"/>
      <c r="AB146" s="19"/>
    </row>
    <row r="147" spans="1:28" x14ac:dyDescent="0.25">
      <c r="A147" s="15" t="s">
        <v>182</v>
      </c>
      <c r="B147" s="25" t="s">
        <v>183</v>
      </c>
      <c r="C147" s="122" t="s">
        <v>184</v>
      </c>
      <c r="D147" s="123" t="s">
        <v>184</v>
      </c>
      <c r="E147" s="123" t="s">
        <v>184</v>
      </c>
      <c r="F147" s="122" t="s">
        <v>184</v>
      </c>
      <c r="G147" s="122" t="s">
        <v>184</v>
      </c>
      <c r="H147" s="122" t="s">
        <v>184</v>
      </c>
      <c r="I147" s="122" t="s">
        <v>184</v>
      </c>
      <c r="J147" s="122" t="s">
        <v>184</v>
      </c>
      <c r="K147" s="124" t="s">
        <v>184</v>
      </c>
      <c r="L147" s="124" t="s">
        <v>184</v>
      </c>
      <c r="M147" s="124" t="s">
        <v>184</v>
      </c>
      <c r="N147" s="124" t="s">
        <v>184</v>
      </c>
      <c r="O147" s="124" t="s">
        <v>184</v>
      </c>
      <c r="P147" s="124" t="s">
        <v>184</v>
      </c>
      <c r="Q147" s="125" t="s">
        <v>184</v>
      </c>
      <c r="R147" s="122" t="s">
        <v>184</v>
      </c>
      <c r="S147" s="123" t="s">
        <v>184</v>
      </c>
      <c r="T147" s="123" t="s">
        <v>184</v>
      </c>
      <c r="U147" s="122" t="s">
        <v>184</v>
      </c>
      <c r="V147" s="122" t="s">
        <v>184</v>
      </c>
      <c r="W147" s="122" t="s">
        <v>184</v>
      </c>
      <c r="X147" s="122" t="s">
        <v>184</v>
      </c>
      <c r="Y147" s="122" t="s">
        <v>184</v>
      </c>
      <c r="Z147" s="124" t="s">
        <v>184</v>
      </c>
      <c r="AA147" s="124" t="s">
        <v>184</v>
      </c>
      <c r="AB147" s="124" t="s">
        <v>184</v>
      </c>
    </row>
    <row r="148" spans="1:28" x14ac:dyDescent="0.25">
      <c r="A148" s="15"/>
      <c r="B148" s="34" t="s">
        <v>185</v>
      </c>
      <c r="C148" s="35">
        <v>67930.382509999996</v>
      </c>
      <c r="D148" s="35">
        <v>53835.161469999999</v>
      </c>
      <c r="E148" s="36">
        <f t="shared" ref="E148:E149" si="126">C148-D148</f>
        <v>14095.221039999997</v>
      </c>
      <c r="F148" s="35">
        <f>37484.80566</f>
        <v>37484.805659999998</v>
      </c>
      <c r="G148" s="35">
        <f>27622.74131</f>
        <v>27622.741310000001</v>
      </c>
      <c r="H148" s="36">
        <f t="shared" ref="H148:H149" si="127">F148-G148</f>
        <v>9862.0643499999969</v>
      </c>
      <c r="I148" s="35">
        <f>54774.07155-F148</f>
        <v>17289.265890000002</v>
      </c>
      <c r="J148" s="35">
        <f>43678.36087-G148</f>
        <v>16055.619559999996</v>
      </c>
      <c r="K148" s="36">
        <f t="shared" ref="K148:K149" si="128">I148-J148</f>
        <v>1233.6463300000069</v>
      </c>
      <c r="L148" s="35">
        <v>69974.707439999998</v>
      </c>
      <c r="M148" s="35">
        <v>55540.707439999998</v>
      </c>
      <c r="N148" s="36">
        <f t="shared" ref="N148:N149" si="129">L148-M148</f>
        <v>14434</v>
      </c>
      <c r="O148" s="35">
        <v>81077.899999999994</v>
      </c>
      <c r="P148" s="35">
        <v>66465.7</v>
      </c>
      <c r="Q148" s="36">
        <f t="shared" ref="Q148:Q149" si="130">O148-P148</f>
        <v>14612.199999999997</v>
      </c>
      <c r="R148" s="37">
        <f t="shared" ref="R148:R149" si="131">Q148/E148</f>
        <v>1.0366776057312543</v>
      </c>
      <c r="S148" s="35">
        <v>37073.05732</v>
      </c>
      <c r="T148" s="35">
        <v>24991.646110000001</v>
      </c>
      <c r="U148" s="36">
        <f t="shared" ref="U148:U149" si="132">S148-T148</f>
        <v>12081.411209999998</v>
      </c>
      <c r="V148" s="35">
        <v>23718.791809999999</v>
      </c>
      <c r="W148" s="35">
        <v>22700.510709999999</v>
      </c>
      <c r="X148" s="36">
        <f t="shared" ref="X148:X149" si="133">V148-W148</f>
        <v>1018.2811000000002</v>
      </c>
      <c r="Y148" s="35">
        <f>O148</f>
        <v>81077.899999999994</v>
      </c>
      <c r="Z148" s="35">
        <f>P148</f>
        <v>66465.7</v>
      </c>
      <c r="AA148" s="36">
        <f t="shared" ref="AA148:AA149" si="134">Y148-Z148</f>
        <v>14612.199999999997</v>
      </c>
      <c r="AB148" s="37">
        <f t="shared" ref="AB148:AB149" si="135">AA148/E148</f>
        <v>1.0366776057312543</v>
      </c>
    </row>
    <row r="149" spans="1:28" x14ac:dyDescent="0.25">
      <c r="A149" s="15"/>
      <c r="B149" s="127" t="s">
        <v>186</v>
      </c>
      <c r="C149" s="35">
        <v>67212.195099999997</v>
      </c>
      <c r="D149" s="35">
        <v>53835.161469999999</v>
      </c>
      <c r="E149" s="36">
        <f t="shared" si="126"/>
        <v>13377.033629999998</v>
      </c>
      <c r="F149" s="35">
        <f>35744.71389</f>
        <v>35744.713889999999</v>
      </c>
      <c r="G149" s="35">
        <f>G148</f>
        <v>27622.741310000001</v>
      </c>
      <c r="H149" s="36">
        <f t="shared" si="127"/>
        <v>8121.9725799999978</v>
      </c>
      <c r="I149" s="35">
        <f>53113.22197-F149</f>
        <v>17368.50808</v>
      </c>
      <c r="J149" s="35">
        <f>43678.36087-G149</f>
        <v>16055.619559999996</v>
      </c>
      <c r="K149" s="36">
        <f t="shared" si="128"/>
        <v>1312.8885200000041</v>
      </c>
      <c r="L149" s="35">
        <f>L148</f>
        <v>69974.707439999998</v>
      </c>
      <c r="M149" s="35">
        <f>M148</f>
        <v>55540.707439999998</v>
      </c>
      <c r="N149" s="36">
        <f t="shared" si="129"/>
        <v>14434</v>
      </c>
      <c r="O149" s="35">
        <f>O148</f>
        <v>81077.899999999994</v>
      </c>
      <c r="P149" s="35">
        <f>P148</f>
        <v>66465.7</v>
      </c>
      <c r="Q149" s="36">
        <f t="shared" si="130"/>
        <v>14612.199999999997</v>
      </c>
      <c r="R149" s="37">
        <f t="shared" si="131"/>
        <v>1.0923348482304742</v>
      </c>
      <c r="S149" s="35">
        <v>35913.483200000002</v>
      </c>
      <c r="T149" s="35">
        <v>24991.646110000001</v>
      </c>
      <c r="U149" s="36">
        <f t="shared" si="132"/>
        <v>10921.837090000001</v>
      </c>
      <c r="V149" s="35">
        <v>23895.274420000002</v>
      </c>
      <c r="W149" s="35">
        <v>22700.510709999999</v>
      </c>
      <c r="X149" s="36">
        <f t="shared" si="133"/>
        <v>1194.7637100000029</v>
      </c>
      <c r="Y149" s="35">
        <f>O149</f>
        <v>81077.899999999994</v>
      </c>
      <c r="Z149" s="35">
        <f>P149</f>
        <v>66465.7</v>
      </c>
      <c r="AA149" s="36">
        <f t="shared" si="134"/>
        <v>14612.199999999997</v>
      </c>
      <c r="AB149" s="37">
        <f t="shared" si="135"/>
        <v>1.0923348482304742</v>
      </c>
    </row>
    <row r="150" spans="1:28" x14ac:dyDescent="0.25">
      <c r="A150" s="15" t="s">
        <v>187</v>
      </c>
      <c r="B150" s="128" t="s">
        <v>188</v>
      </c>
      <c r="C150" s="129">
        <f>C151</f>
        <v>106040</v>
      </c>
      <c r="D150" s="122" t="s">
        <v>184</v>
      </c>
      <c r="E150" s="123" t="s">
        <v>184</v>
      </c>
      <c r="F150" s="130">
        <f>F151</f>
        <v>119620</v>
      </c>
      <c r="G150" s="122" t="s">
        <v>184</v>
      </c>
      <c r="H150" s="122" t="s">
        <v>184</v>
      </c>
      <c r="I150" s="126">
        <f>I151</f>
        <v>-2790</v>
      </c>
      <c r="J150" s="122" t="s">
        <v>184</v>
      </c>
      <c r="K150" s="122" t="s">
        <v>184</v>
      </c>
      <c r="L150" s="124" t="s">
        <v>184</v>
      </c>
      <c r="M150" s="124" t="s">
        <v>184</v>
      </c>
      <c r="N150" s="124" t="s">
        <v>184</v>
      </c>
      <c r="O150" s="124" t="s">
        <v>184</v>
      </c>
      <c r="P150" s="124" t="s">
        <v>184</v>
      </c>
      <c r="Q150" s="124" t="s">
        <v>184</v>
      </c>
      <c r="R150" s="125" t="s">
        <v>184</v>
      </c>
      <c r="S150" s="126">
        <f>S151</f>
        <v>106040</v>
      </c>
      <c r="T150" s="124" t="s">
        <v>184</v>
      </c>
      <c r="U150" s="124" t="s">
        <v>184</v>
      </c>
      <c r="V150" s="126">
        <f>V151</f>
        <v>95250</v>
      </c>
      <c r="W150" s="124" t="s">
        <v>184</v>
      </c>
      <c r="X150" s="124" t="s">
        <v>184</v>
      </c>
      <c r="Y150" s="96">
        <f>Y151+Y152</f>
        <v>156120</v>
      </c>
      <c r="Z150" s="124" t="s">
        <v>184</v>
      </c>
      <c r="AA150" s="124" t="s">
        <v>184</v>
      </c>
      <c r="AB150" s="19">
        <f>Y150/C150</f>
        <v>1.4722746133534514</v>
      </c>
    </row>
    <row r="151" spans="1:28" x14ac:dyDescent="0.25">
      <c r="A151" s="15"/>
      <c r="B151" s="128" t="s">
        <v>189</v>
      </c>
      <c r="C151" s="129">
        <v>106040</v>
      </c>
      <c r="D151" s="122" t="s">
        <v>184</v>
      </c>
      <c r="E151" s="123" t="s">
        <v>184</v>
      </c>
      <c r="F151" s="130">
        <v>119620</v>
      </c>
      <c r="G151" s="122" t="s">
        <v>184</v>
      </c>
      <c r="H151" s="122" t="s">
        <v>184</v>
      </c>
      <c r="I151" s="126">
        <f>116830-F151</f>
        <v>-2790</v>
      </c>
      <c r="J151" s="122" t="s">
        <v>184</v>
      </c>
      <c r="K151" s="122" t="s">
        <v>184</v>
      </c>
      <c r="L151" s="124" t="s">
        <v>184</v>
      </c>
      <c r="M151" s="124" t="s">
        <v>184</v>
      </c>
      <c r="N151" s="124" t="s">
        <v>184</v>
      </c>
      <c r="O151" s="124" t="s">
        <v>184</v>
      </c>
      <c r="P151" s="124" t="s">
        <v>184</v>
      </c>
      <c r="Q151" s="124" t="s">
        <v>184</v>
      </c>
      <c r="R151" s="125" t="s">
        <v>184</v>
      </c>
      <c r="S151" s="126">
        <f>C151</f>
        <v>106040</v>
      </c>
      <c r="T151" s="124" t="s">
        <v>184</v>
      </c>
      <c r="U151" s="124" t="s">
        <v>184</v>
      </c>
      <c r="V151" s="96">
        <f>S151+V110</f>
        <v>95250</v>
      </c>
      <c r="W151" s="124" t="s">
        <v>184</v>
      </c>
      <c r="X151" s="124" t="s">
        <v>184</v>
      </c>
      <c r="Y151" s="96">
        <f>V151+Y113</f>
        <v>65670</v>
      </c>
      <c r="Z151" s="124" t="s">
        <v>184</v>
      </c>
      <c r="AA151" s="124" t="s">
        <v>184</v>
      </c>
      <c r="AB151" s="19">
        <f t="shared" ref="AB151:AB162" si="136">Y151/C151</f>
        <v>0.61929460580912865</v>
      </c>
    </row>
    <row r="152" spans="1:28" x14ac:dyDescent="0.25">
      <c r="A152" s="15"/>
      <c r="B152" s="128" t="s">
        <v>190</v>
      </c>
      <c r="C152" s="129">
        <v>0</v>
      </c>
      <c r="D152" s="122" t="s">
        <v>184</v>
      </c>
      <c r="E152" s="123" t="s">
        <v>184</v>
      </c>
      <c r="F152" s="130"/>
      <c r="G152" s="122" t="s">
        <v>184</v>
      </c>
      <c r="H152" s="122" t="s">
        <v>184</v>
      </c>
      <c r="I152" s="131">
        <v>0</v>
      </c>
      <c r="J152" s="122" t="s">
        <v>184</v>
      </c>
      <c r="K152" s="122" t="s">
        <v>184</v>
      </c>
      <c r="L152" s="124" t="s">
        <v>184</v>
      </c>
      <c r="M152" s="124" t="s">
        <v>184</v>
      </c>
      <c r="N152" s="124" t="s">
        <v>184</v>
      </c>
      <c r="O152" s="124" t="s">
        <v>184</v>
      </c>
      <c r="P152" s="124" t="s">
        <v>184</v>
      </c>
      <c r="Q152" s="124" t="s">
        <v>184</v>
      </c>
      <c r="R152" s="125" t="s">
        <v>184</v>
      </c>
      <c r="S152" s="126"/>
      <c r="T152" s="124" t="s">
        <v>184</v>
      </c>
      <c r="U152" s="124" t="s">
        <v>184</v>
      </c>
      <c r="V152" s="126"/>
      <c r="W152" s="124" t="s">
        <v>184</v>
      </c>
      <c r="X152" s="124" t="s">
        <v>184</v>
      </c>
      <c r="Y152" s="96">
        <f>S152+Y116</f>
        <v>90450</v>
      </c>
      <c r="Z152" s="124" t="s">
        <v>184</v>
      </c>
      <c r="AA152" s="124" t="s">
        <v>184</v>
      </c>
      <c r="AB152" s="19" t="e">
        <f t="shared" si="136"/>
        <v>#DIV/0!</v>
      </c>
    </row>
    <row r="153" spans="1:28" x14ac:dyDescent="0.25">
      <c r="A153" s="15"/>
      <c r="B153" s="128" t="s">
        <v>191</v>
      </c>
      <c r="C153" s="129">
        <v>0</v>
      </c>
      <c r="D153" s="122" t="s">
        <v>184</v>
      </c>
      <c r="E153" s="123" t="s">
        <v>184</v>
      </c>
      <c r="F153" s="130"/>
      <c r="G153" s="122" t="s">
        <v>184</v>
      </c>
      <c r="H153" s="122" t="s">
        <v>184</v>
      </c>
      <c r="I153" s="131">
        <v>0</v>
      </c>
      <c r="J153" s="122" t="s">
        <v>184</v>
      </c>
      <c r="K153" s="122" t="s">
        <v>184</v>
      </c>
      <c r="L153" s="124" t="s">
        <v>184</v>
      </c>
      <c r="M153" s="124" t="s">
        <v>184</v>
      </c>
      <c r="N153" s="124" t="s">
        <v>184</v>
      </c>
      <c r="O153" s="124" t="s">
        <v>184</v>
      </c>
      <c r="P153" s="124" t="s">
        <v>184</v>
      </c>
      <c r="Q153" s="124" t="s">
        <v>184</v>
      </c>
      <c r="R153" s="125" t="s">
        <v>184</v>
      </c>
      <c r="S153" s="126"/>
      <c r="T153" s="124" t="s">
        <v>184</v>
      </c>
      <c r="U153" s="124" t="s">
        <v>184</v>
      </c>
      <c r="V153" s="126"/>
      <c r="W153" s="124" t="s">
        <v>184</v>
      </c>
      <c r="X153" s="124" t="s">
        <v>184</v>
      </c>
      <c r="Y153" s="126"/>
      <c r="Z153" s="124" t="s">
        <v>184</v>
      </c>
      <c r="AA153" s="124" t="s">
        <v>184</v>
      </c>
      <c r="AB153" s="19" t="e">
        <f t="shared" si="136"/>
        <v>#DIV/0!</v>
      </c>
    </row>
    <row r="154" spans="1:28" ht="28.5" customHeight="1" x14ac:dyDescent="0.25">
      <c r="A154" s="15" t="s">
        <v>192</v>
      </c>
      <c r="B154" s="132" t="s">
        <v>193</v>
      </c>
      <c r="C154" s="129">
        <v>142.15</v>
      </c>
      <c r="D154" s="122" t="s">
        <v>184</v>
      </c>
      <c r="E154" s="123" t="s">
        <v>184</v>
      </c>
      <c r="F154" s="123" t="s">
        <v>184</v>
      </c>
      <c r="G154" s="122" t="s">
        <v>184</v>
      </c>
      <c r="H154" s="122" t="s">
        <v>184</v>
      </c>
      <c r="I154" s="122" t="s">
        <v>184</v>
      </c>
      <c r="J154" s="122" t="s">
        <v>184</v>
      </c>
      <c r="K154" s="122" t="s">
        <v>184</v>
      </c>
      <c r="L154" s="126">
        <v>116.95</v>
      </c>
      <c r="M154" s="124" t="s">
        <v>184</v>
      </c>
      <c r="N154" s="124" t="s">
        <v>184</v>
      </c>
      <c r="O154" s="126">
        <v>110.95</v>
      </c>
      <c r="P154" s="124" t="s">
        <v>184</v>
      </c>
      <c r="Q154" s="124" t="s">
        <v>184</v>
      </c>
      <c r="R154" s="125">
        <f>O154/C154</f>
        <v>0.78051354203306367</v>
      </c>
      <c r="S154" s="124" t="s">
        <v>184</v>
      </c>
      <c r="T154" s="124" t="s">
        <v>184</v>
      </c>
      <c r="U154" s="124" t="s">
        <v>184</v>
      </c>
      <c r="V154" s="124" t="s">
        <v>184</v>
      </c>
      <c r="W154" s="124" t="s">
        <v>184</v>
      </c>
      <c r="X154" s="124" t="s">
        <v>184</v>
      </c>
      <c r="Y154" s="126">
        <f>O154</f>
        <v>110.95</v>
      </c>
      <c r="Z154" s="124" t="s">
        <v>184</v>
      </c>
      <c r="AA154" s="124" t="s">
        <v>184</v>
      </c>
      <c r="AB154" s="19">
        <f t="shared" si="136"/>
        <v>0.78051354203306367</v>
      </c>
    </row>
    <row r="155" spans="1:28" ht="38.25" x14ac:dyDescent="0.25">
      <c r="A155" s="15"/>
      <c r="B155" s="132" t="s">
        <v>194</v>
      </c>
      <c r="C155" s="129">
        <v>120.85</v>
      </c>
      <c r="D155" s="122" t="s">
        <v>184</v>
      </c>
      <c r="E155" s="123" t="s">
        <v>184</v>
      </c>
      <c r="F155" s="123" t="s">
        <v>184</v>
      </c>
      <c r="G155" s="122" t="s">
        <v>184</v>
      </c>
      <c r="H155" s="122" t="s">
        <v>184</v>
      </c>
      <c r="I155" s="122" t="s">
        <v>184</v>
      </c>
      <c r="J155" s="122" t="s">
        <v>184</v>
      </c>
      <c r="K155" s="122" t="s">
        <v>184</v>
      </c>
      <c r="L155" s="126">
        <v>120.85</v>
      </c>
      <c r="M155" s="124" t="s">
        <v>184</v>
      </c>
      <c r="N155" s="124" t="s">
        <v>184</v>
      </c>
      <c r="O155" s="126">
        <f>L155+2</f>
        <v>122.85</v>
      </c>
      <c r="P155" s="124" t="s">
        <v>184</v>
      </c>
      <c r="Q155" s="124" t="s">
        <v>184</v>
      </c>
      <c r="R155" s="125">
        <f t="shared" ref="R155:R162" si="137">O155/C155</f>
        <v>1.016549441456351</v>
      </c>
      <c r="S155" s="124" t="s">
        <v>184</v>
      </c>
      <c r="T155" s="124" t="s">
        <v>184</v>
      </c>
      <c r="U155" s="124" t="s">
        <v>184</v>
      </c>
      <c r="V155" s="124" t="s">
        <v>184</v>
      </c>
      <c r="W155" s="124" t="s">
        <v>184</v>
      </c>
      <c r="X155" s="124" t="s">
        <v>184</v>
      </c>
      <c r="Y155" s="126">
        <f>O155</f>
        <v>122.85</v>
      </c>
      <c r="Z155" s="124" t="s">
        <v>184</v>
      </c>
      <c r="AA155" s="124" t="s">
        <v>184</v>
      </c>
      <c r="AB155" s="19">
        <f t="shared" si="136"/>
        <v>1.016549441456351</v>
      </c>
    </row>
    <row r="156" spans="1:28" ht="31.5" customHeight="1" x14ac:dyDescent="0.25">
      <c r="A156" s="15"/>
      <c r="B156" s="132" t="s">
        <v>195</v>
      </c>
      <c r="C156" s="129">
        <v>2132.1999999999998</v>
      </c>
      <c r="D156" s="122" t="s">
        <v>184</v>
      </c>
      <c r="E156" s="123" t="s">
        <v>184</v>
      </c>
      <c r="F156" s="123" t="s">
        <v>184</v>
      </c>
      <c r="G156" s="122" t="s">
        <v>184</v>
      </c>
      <c r="H156" s="122" t="s">
        <v>184</v>
      </c>
      <c r="I156" s="122" t="s">
        <v>184</v>
      </c>
      <c r="J156" s="122" t="s">
        <v>184</v>
      </c>
      <c r="K156" s="122" t="s">
        <v>184</v>
      </c>
      <c r="L156" s="133">
        <v>2151.5500000000002</v>
      </c>
      <c r="M156" s="124" t="s">
        <v>184</v>
      </c>
      <c r="N156" s="124" t="s">
        <v>184</v>
      </c>
      <c r="O156" s="134">
        <v>2187.3000000000002</v>
      </c>
      <c r="P156" s="124" t="s">
        <v>184</v>
      </c>
      <c r="Q156" s="124" t="s">
        <v>184</v>
      </c>
      <c r="R156" s="125">
        <f t="shared" si="137"/>
        <v>1.0258418534846638</v>
      </c>
      <c r="S156" s="124" t="s">
        <v>184</v>
      </c>
      <c r="T156" s="124" t="s">
        <v>184</v>
      </c>
      <c r="U156" s="124" t="s">
        <v>184</v>
      </c>
      <c r="V156" s="124" t="s">
        <v>184</v>
      </c>
      <c r="W156" s="124" t="s">
        <v>184</v>
      </c>
      <c r="X156" s="124" t="s">
        <v>184</v>
      </c>
      <c r="Y156" s="126">
        <f>O156</f>
        <v>2187.3000000000002</v>
      </c>
      <c r="Z156" s="124" t="s">
        <v>184</v>
      </c>
      <c r="AA156" s="124" t="s">
        <v>184</v>
      </c>
      <c r="AB156" s="19">
        <f t="shared" si="136"/>
        <v>1.0258418534846638</v>
      </c>
    </row>
    <row r="157" spans="1:28" ht="40.5" customHeight="1" x14ac:dyDescent="0.25">
      <c r="A157" s="15"/>
      <c r="B157" s="132" t="s">
        <v>196</v>
      </c>
      <c r="C157" s="129">
        <v>3</v>
      </c>
      <c r="D157" s="122" t="s">
        <v>184</v>
      </c>
      <c r="E157" s="123" t="s">
        <v>184</v>
      </c>
      <c r="F157" s="123" t="s">
        <v>184</v>
      </c>
      <c r="G157" s="122" t="s">
        <v>184</v>
      </c>
      <c r="H157" s="122" t="s">
        <v>184</v>
      </c>
      <c r="I157" s="122" t="s">
        <v>184</v>
      </c>
      <c r="J157" s="122" t="s">
        <v>184</v>
      </c>
      <c r="K157" s="122" t="s">
        <v>184</v>
      </c>
      <c r="L157" s="133">
        <v>7</v>
      </c>
      <c r="M157" s="124" t="s">
        <v>184</v>
      </c>
      <c r="N157" s="124" t="s">
        <v>184</v>
      </c>
      <c r="O157" s="134">
        <v>7</v>
      </c>
      <c r="P157" s="124" t="s">
        <v>184</v>
      </c>
      <c r="Q157" s="124" t="s">
        <v>184</v>
      </c>
      <c r="R157" s="125">
        <f t="shared" si="137"/>
        <v>2.3333333333333335</v>
      </c>
      <c r="S157" s="124" t="s">
        <v>184</v>
      </c>
      <c r="T157" s="124" t="s">
        <v>184</v>
      </c>
      <c r="U157" s="124" t="s">
        <v>184</v>
      </c>
      <c r="V157" s="124" t="s">
        <v>184</v>
      </c>
      <c r="W157" s="124" t="s">
        <v>184</v>
      </c>
      <c r="X157" s="124" t="s">
        <v>184</v>
      </c>
      <c r="Y157" s="126">
        <f t="shared" ref="Y157:Y162" si="138">O157</f>
        <v>7</v>
      </c>
      <c r="Z157" s="124" t="s">
        <v>184</v>
      </c>
      <c r="AA157" s="124" t="s">
        <v>184</v>
      </c>
      <c r="AB157" s="19">
        <f t="shared" si="136"/>
        <v>2.3333333333333335</v>
      </c>
    </row>
    <row r="158" spans="1:28" ht="23.25" customHeight="1" x14ac:dyDescent="0.25">
      <c r="A158" s="15" t="s">
        <v>197</v>
      </c>
      <c r="B158" s="136" t="s">
        <v>198</v>
      </c>
      <c r="C158" s="129">
        <f>C159+C161+C162+C160</f>
        <v>56</v>
      </c>
      <c r="D158" s="122" t="s">
        <v>184</v>
      </c>
      <c r="E158" s="123" t="s">
        <v>184</v>
      </c>
      <c r="F158" s="122" t="s">
        <v>184</v>
      </c>
      <c r="G158" s="122" t="s">
        <v>184</v>
      </c>
      <c r="H158" s="122" t="s">
        <v>184</v>
      </c>
      <c r="I158" s="122" t="s">
        <v>184</v>
      </c>
      <c r="J158" s="122" t="s">
        <v>184</v>
      </c>
      <c r="K158" s="122" t="s">
        <v>184</v>
      </c>
      <c r="L158" s="137">
        <f>L159+L161+L162+L160</f>
        <v>56</v>
      </c>
      <c r="M158" s="124" t="s">
        <v>184</v>
      </c>
      <c r="N158" s="124" t="s">
        <v>184</v>
      </c>
      <c r="O158" s="137">
        <f>O159+O161+O162+O160</f>
        <v>56</v>
      </c>
      <c r="P158" s="124" t="s">
        <v>184</v>
      </c>
      <c r="Q158" s="124" t="s">
        <v>184</v>
      </c>
      <c r="R158" s="125">
        <f t="shared" si="137"/>
        <v>1</v>
      </c>
      <c r="S158" s="137">
        <f>S159+S161+S162+S160</f>
        <v>56</v>
      </c>
      <c r="T158" s="124" t="s">
        <v>184</v>
      </c>
      <c r="U158" s="124" t="s">
        <v>184</v>
      </c>
      <c r="V158" s="124" t="s">
        <v>184</v>
      </c>
      <c r="W158" s="124" t="s">
        <v>184</v>
      </c>
      <c r="X158" s="124" t="s">
        <v>184</v>
      </c>
      <c r="Y158" s="126">
        <f>Y159+Y161+Y160+Y162</f>
        <v>56</v>
      </c>
      <c r="Z158" s="124" t="s">
        <v>184</v>
      </c>
      <c r="AA158" s="124" t="s">
        <v>184</v>
      </c>
      <c r="AB158" s="19">
        <f t="shared" si="136"/>
        <v>1</v>
      </c>
    </row>
    <row r="159" spans="1:28" x14ac:dyDescent="0.25">
      <c r="A159" s="15"/>
      <c r="B159" s="136" t="s">
        <v>199</v>
      </c>
      <c r="C159" s="129">
        <v>6</v>
      </c>
      <c r="D159" s="122" t="s">
        <v>184</v>
      </c>
      <c r="E159" s="123" t="s">
        <v>184</v>
      </c>
      <c r="F159" s="122" t="s">
        <v>184</v>
      </c>
      <c r="G159" s="122" t="s">
        <v>184</v>
      </c>
      <c r="H159" s="122" t="s">
        <v>184</v>
      </c>
      <c r="I159" s="122" t="s">
        <v>184</v>
      </c>
      <c r="J159" s="122" t="s">
        <v>184</v>
      </c>
      <c r="K159" s="122" t="s">
        <v>184</v>
      </c>
      <c r="L159" s="133">
        <f>C159</f>
        <v>6</v>
      </c>
      <c r="M159" s="124" t="s">
        <v>184</v>
      </c>
      <c r="N159" s="124" t="s">
        <v>184</v>
      </c>
      <c r="O159" s="134">
        <f>L159</f>
        <v>6</v>
      </c>
      <c r="P159" s="124" t="s">
        <v>184</v>
      </c>
      <c r="Q159" s="124" t="s">
        <v>184</v>
      </c>
      <c r="R159" s="125">
        <f t="shared" si="137"/>
        <v>1</v>
      </c>
      <c r="S159" s="126">
        <f>O159</f>
        <v>6</v>
      </c>
      <c r="T159" s="124" t="s">
        <v>184</v>
      </c>
      <c r="U159" s="124" t="s">
        <v>184</v>
      </c>
      <c r="V159" s="124" t="s">
        <v>184</v>
      </c>
      <c r="W159" s="124" t="s">
        <v>184</v>
      </c>
      <c r="X159" s="124" t="s">
        <v>184</v>
      </c>
      <c r="Y159" s="126">
        <f t="shared" si="138"/>
        <v>6</v>
      </c>
      <c r="Z159" s="124" t="s">
        <v>184</v>
      </c>
      <c r="AA159" s="124" t="s">
        <v>184</v>
      </c>
      <c r="AB159" s="19">
        <f t="shared" si="136"/>
        <v>1</v>
      </c>
    </row>
    <row r="160" spans="1:28" x14ac:dyDescent="0.25">
      <c r="A160" s="15"/>
      <c r="B160" s="136" t="s">
        <v>200</v>
      </c>
      <c r="C160" s="129">
        <v>4</v>
      </c>
      <c r="D160" s="122" t="s">
        <v>184</v>
      </c>
      <c r="E160" s="123" t="s">
        <v>184</v>
      </c>
      <c r="F160" s="122" t="s">
        <v>184</v>
      </c>
      <c r="G160" s="122" t="s">
        <v>184</v>
      </c>
      <c r="H160" s="122" t="s">
        <v>184</v>
      </c>
      <c r="I160" s="122" t="s">
        <v>184</v>
      </c>
      <c r="J160" s="122" t="s">
        <v>184</v>
      </c>
      <c r="K160" s="122" t="s">
        <v>184</v>
      </c>
      <c r="L160" s="133">
        <f>C160</f>
        <v>4</v>
      </c>
      <c r="M160" s="124" t="s">
        <v>184</v>
      </c>
      <c r="N160" s="124" t="s">
        <v>184</v>
      </c>
      <c r="O160" s="134">
        <f>L160</f>
        <v>4</v>
      </c>
      <c r="P160" s="124" t="s">
        <v>184</v>
      </c>
      <c r="Q160" s="124" t="s">
        <v>184</v>
      </c>
      <c r="R160" s="125">
        <f t="shared" si="137"/>
        <v>1</v>
      </c>
      <c r="S160" s="126">
        <f>O160</f>
        <v>4</v>
      </c>
      <c r="T160" s="124" t="s">
        <v>184</v>
      </c>
      <c r="U160" s="124" t="s">
        <v>184</v>
      </c>
      <c r="V160" s="124" t="s">
        <v>184</v>
      </c>
      <c r="W160" s="124" t="s">
        <v>184</v>
      </c>
      <c r="X160" s="124" t="s">
        <v>184</v>
      </c>
      <c r="Y160" s="126">
        <f t="shared" si="138"/>
        <v>4</v>
      </c>
      <c r="Z160" s="124" t="s">
        <v>184</v>
      </c>
      <c r="AA160" s="124" t="s">
        <v>184</v>
      </c>
      <c r="AB160" s="19">
        <f t="shared" si="136"/>
        <v>1</v>
      </c>
    </row>
    <row r="161" spans="1:28" x14ac:dyDescent="0.25">
      <c r="A161" s="15"/>
      <c r="B161" s="136" t="s">
        <v>201</v>
      </c>
      <c r="C161" s="129">
        <v>45</v>
      </c>
      <c r="D161" s="122" t="s">
        <v>184</v>
      </c>
      <c r="E161" s="123" t="s">
        <v>184</v>
      </c>
      <c r="F161" s="122" t="s">
        <v>184</v>
      </c>
      <c r="G161" s="122" t="s">
        <v>184</v>
      </c>
      <c r="H161" s="122" t="s">
        <v>184</v>
      </c>
      <c r="I161" s="122" t="s">
        <v>184</v>
      </c>
      <c r="J161" s="122" t="s">
        <v>184</v>
      </c>
      <c r="K161" s="122" t="s">
        <v>184</v>
      </c>
      <c r="L161" s="133">
        <f>C161</f>
        <v>45</v>
      </c>
      <c r="M161" s="124" t="s">
        <v>184</v>
      </c>
      <c r="N161" s="124" t="s">
        <v>184</v>
      </c>
      <c r="O161" s="134">
        <f>L161</f>
        <v>45</v>
      </c>
      <c r="P161" s="124" t="s">
        <v>184</v>
      </c>
      <c r="Q161" s="124" t="s">
        <v>184</v>
      </c>
      <c r="R161" s="125">
        <f t="shared" si="137"/>
        <v>1</v>
      </c>
      <c r="S161" s="126">
        <f>O161</f>
        <v>45</v>
      </c>
      <c r="T161" s="124" t="s">
        <v>184</v>
      </c>
      <c r="U161" s="124" t="s">
        <v>184</v>
      </c>
      <c r="V161" s="124" t="s">
        <v>184</v>
      </c>
      <c r="W161" s="124" t="s">
        <v>184</v>
      </c>
      <c r="X161" s="124" t="s">
        <v>184</v>
      </c>
      <c r="Y161" s="126">
        <v>45</v>
      </c>
      <c r="Z161" s="124" t="s">
        <v>184</v>
      </c>
      <c r="AA161" s="124" t="s">
        <v>184</v>
      </c>
      <c r="AB161" s="19">
        <f t="shared" si="136"/>
        <v>1</v>
      </c>
    </row>
    <row r="162" spans="1:28" x14ac:dyDescent="0.25">
      <c r="A162" s="15"/>
      <c r="B162" s="89" t="s">
        <v>202</v>
      </c>
      <c r="C162" s="129">
        <v>1</v>
      </c>
      <c r="D162" s="122" t="s">
        <v>184</v>
      </c>
      <c r="E162" s="123" t="s">
        <v>184</v>
      </c>
      <c r="F162" s="122" t="s">
        <v>184</v>
      </c>
      <c r="G162" s="122" t="s">
        <v>184</v>
      </c>
      <c r="H162" s="122" t="s">
        <v>184</v>
      </c>
      <c r="I162" s="122" t="s">
        <v>184</v>
      </c>
      <c r="J162" s="122" t="s">
        <v>184</v>
      </c>
      <c r="K162" s="122" t="s">
        <v>184</v>
      </c>
      <c r="L162" s="133">
        <f>C162</f>
        <v>1</v>
      </c>
      <c r="M162" s="124" t="s">
        <v>184</v>
      </c>
      <c r="N162" s="124" t="s">
        <v>184</v>
      </c>
      <c r="O162" s="134">
        <f>L162</f>
        <v>1</v>
      </c>
      <c r="P162" s="124" t="s">
        <v>184</v>
      </c>
      <c r="Q162" s="124" t="s">
        <v>184</v>
      </c>
      <c r="R162" s="125">
        <f t="shared" si="137"/>
        <v>1</v>
      </c>
      <c r="S162" s="135">
        <f>O162</f>
        <v>1</v>
      </c>
      <c r="T162" s="124" t="s">
        <v>184</v>
      </c>
      <c r="U162" s="124" t="s">
        <v>184</v>
      </c>
      <c r="V162" s="124" t="s">
        <v>184</v>
      </c>
      <c r="W162" s="124" t="s">
        <v>184</v>
      </c>
      <c r="X162" s="124" t="s">
        <v>184</v>
      </c>
      <c r="Y162" s="126">
        <f t="shared" si="138"/>
        <v>1</v>
      </c>
      <c r="Z162" s="124" t="s">
        <v>184</v>
      </c>
      <c r="AA162" s="124" t="s">
        <v>184</v>
      </c>
      <c r="AB162" s="19">
        <f t="shared" si="136"/>
        <v>1</v>
      </c>
    </row>
    <row r="163" spans="1:28" ht="25.5" x14ac:dyDescent="0.25">
      <c r="A163" s="15" t="s">
        <v>203</v>
      </c>
      <c r="B163" s="32" t="s">
        <v>204</v>
      </c>
      <c r="C163" s="116">
        <f>C55+C56+C69+C89+C90</f>
        <v>1469640.2581200001</v>
      </c>
      <c r="D163" s="116">
        <f t="shared" ref="D163:Z163" si="139">D55+D56+D69+D89+D90</f>
        <v>931072.09522999998</v>
      </c>
      <c r="E163" s="138">
        <f t="shared" si="139"/>
        <v>538568.16289000004</v>
      </c>
      <c r="F163" s="116">
        <f t="shared" si="139"/>
        <v>969651.90049999999</v>
      </c>
      <c r="G163" s="116">
        <f t="shared" si="139"/>
        <v>591136.63992999995</v>
      </c>
      <c r="H163" s="138">
        <f t="shared" si="139"/>
        <v>378515.26056999993</v>
      </c>
      <c r="I163" s="116">
        <f>I55+I56+I69+I89+I90</f>
        <v>165290.26873000004</v>
      </c>
      <c r="J163" s="116">
        <f t="shared" si="139"/>
        <v>131678.05398000003</v>
      </c>
      <c r="K163" s="138">
        <f t="shared" si="139"/>
        <v>33612.214750000043</v>
      </c>
      <c r="L163" s="116">
        <f t="shared" si="139"/>
        <v>1602161.8192599998</v>
      </c>
      <c r="M163" s="116">
        <f t="shared" si="139"/>
        <v>1005121.377</v>
      </c>
      <c r="N163" s="138">
        <f t="shared" si="139"/>
        <v>597040.44225999992</v>
      </c>
      <c r="O163" s="116">
        <f t="shared" si="139"/>
        <v>1665196.6394499999</v>
      </c>
      <c r="P163" s="116">
        <f t="shared" si="139"/>
        <v>1064713.2494099999</v>
      </c>
      <c r="Q163" s="138">
        <f t="shared" si="139"/>
        <v>600483.39003999997</v>
      </c>
      <c r="R163" s="51">
        <f t="shared" ref="R163:R164" si="140">Q163/E163</f>
        <v>1.1149626573129721</v>
      </c>
      <c r="S163" s="116">
        <f t="shared" si="139"/>
        <v>1052694.8716699998</v>
      </c>
      <c r="T163" s="116">
        <f t="shared" si="139"/>
        <v>649489.05102999997</v>
      </c>
      <c r="U163" s="138">
        <f t="shared" si="139"/>
        <v>403205.82063999999</v>
      </c>
      <c r="V163" s="116">
        <f t="shared" si="139"/>
        <v>200496.79000000004</v>
      </c>
      <c r="W163" s="116">
        <f t="shared" si="139"/>
        <v>95303.400000000009</v>
      </c>
      <c r="X163" s="138">
        <f t="shared" si="139"/>
        <v>105193.39</v>
      </c>
      <c r="Y163" s="116">
        <f t="shared" si="139"/>
        <v>1665196.6394499999</v>
      </c>
      <c r="Z163" s="116">
        <f t="shared" si="139"/>
        <v>1064713.2494099999</v>
      </c>
      <c r="AA163" s="138">
        <f>AA55+AA56+AA69+AA89+AA90</f>
        <v>600483.39003999997</v>
      </c>
      <c r="AB163" s="51">
        <f t="shared" ref="AB163:AB164" si="141">AA163/E163</f>
        <v>1.1149626573129721</v>
      </c>
    </row>
    <row r="164" spans="1:28" ht="25.5" x14ac:dyDescent="0.25">
      <c r="A164" s="15" t="s">
        <v>205</v>
      </c>
      <c r="B164" s="32" t="s">
        <v>206</v>
      </c>
      <c r="C164" s="116">
        <f>C59+C76+C93</f>
        <v>166609.58411</v>
      </c>
      <c r="D164" s="116">
        <f t="shared" ref="D164:AA164" si="142">D59+D76+D93</f>
        <v>8475.2292799999996</v>
      </c>
      <c r="E164" s="138">
        <f t="shared" si="142"/>
        <v>158134.35483</v>
      </c>
      <c r="F164" s="116">
        <f t="shared" si="142"/>
        <v>106697.53154000001</v>
      </c>
      <c r="G164" s="116">
        <f t="shared" si="142"/>
        <v>5982.6912899999998</v>
      </c>
      <c r="H164" s="138">
        <f t="shared" si="142"/>
        <v>100714.84025000001</v>
      </c>
      <c r="I164" s="116">
        <f t="shared" si="142"/>
        <v>16521.212459999995</v>
      </c>
      <c r="J164" s="116">
        <f t="shared" si="142"/>
        <v>268.35861999999963</v>
      </c>
      <c r="K164" s="138">
        <f t="shared" si="142"/>
        <v>16252.853839999998</v>
      </c>
      <c r="L164" s="116">
        <f t="shared" si="142"/>
        <v>74199.919210000007</v>
      </c>
      <c r="M164" s="116">
        <f t="shared" si="142"/>
        <v>622.68271000000004</v>
      </c>
      <c r="N164" s="138">
        <f t="shared" si="142"/>
        <v>73577.236499999999</v>
      </c>
      <c r="O164" s="116">
        <f t="shared" si="142"/>
        <v>184284.49566999997</v>
      </c>
      <c r="P164" s="116">
        <f t="shared" si="142"/>
        <v>708.77286000000004</v>
      </c>
      <c r="Q164" s="138">
        <f t="shared" si="142"/>
        <v>183575.72280999998</v>
      </c>
      <c r="R164" s="51">
        <f t="shared" si="140"/>
        <v>1.1608845086657504</v>
      </c>
      <c r="S164" s="116">
        <f t="shared" si="142"/>
        <v>106350.03396000002</v>
      </c>
      <c r="T164" s="116">
        <f t="shared" si="142"/>
        <v>402.79795000000001</v>
      </c>
      <c r="U164" s="138">
        <f t="shared" si="142"/>
        <v>105947.23601000001</v>
      </c>
      <c r="V164" s="116">
        <f t="shared" si="142"/>
        <v>20602.3</v>
      </c>
      <c r="W164" s="116">
        <f t="shared" si="142"/>
        <v>100</v>
      </c>
      <c r="X164" s="138">
        <f t="shared" si="142"/>
        <v>20502.3</v>
      </c>
      <c r="Y164" s="116">
        <f t="shared" si="142"/>
        <v>184284.49566999997</v>
      </c>
      <c r="Z164" s="116">
        <f t="shared" si="142"/>
        <v>708.77286000000004</v>
      </c>
      <c r="AA164" s="138">
        <f t="shared" si="142"/>
        <v>183575.72280999998</v>
      </c>
      <c r="AB164" s="51">
        <f t="shared" si="141"/>
        <v>1.1608845086657504</v>
      </c>
    </row>
    <row r="165" spans="1:28" s="156" customFormat="1" ht="153.75" customHeight="1" x14ac:dyDescent="0.25">
      <c r="A165" s="139" t="s">
        <v>207</v>
      </c>
      <c r="B165" s="165" t="s">
        <v>209</v>
      </c>
      <c r="C165" s="140">
        <v>147042.97</v>
      </c>
      <c r="D165" s="140">
        <v>65312.5</v>
      </c>
      <c r="E165" s="140">
        <v>81730.47</v>
      </c>
      <c r="F165" s="140">
        <f>G165+H165</f>
        <v>95290.079999999987</v>
      </c>
      <c r="G165" s="140">
        <f>5954.57+6176.39+6147.45+6225.8+5762.5+4529.5+3436+3871.2+123.2</f>
        <v>42226.609999999993</v>
      </c>
      <c r="H165" s="140">
        <f>((5034.58+373.67+548.39)+(13357.83-6176.39+626.91)+7019.68+7147.2+(12818.8-5762.5)+(9627.7-4529.5)+3919.4+3484.2)+5573.5</f>
        <v>53063.469999999994</v>
      </c>
      <c r="I165" s="161" t="s">
        <v>184</v>
      </c>
      <c r="J165" s="161" t="s">
        <v>184</v>
      </c>
      <c r="K165" s="161" t="s">
        <v>184</v>
      </c>
      <c r="L165" s="140">
        <f>M165+N165</f>
        <v>160220.20000000001</v>
      </c>
      <c r="M165" s="140">
        <f>287.84+70355.5</f>
        <v>70643.34</v>
      </c>
      <c r="N165" s="140">
        <f>7838.16+81738.7</f>
        <v>89576.86</v>
      </c>
      <c r="O165" s="140">
        <f>P165+Q165</f>
        <v>160220.20000000001</v>
      </c>
      <c r="P165" s="140">
        <f>287.84+70355.5</f>
        <v>70643.34</v>
      </c>
      <c r="Q165" s="140">
        <f>7838.16+81738.7</f>
        <v>89576.86</v>
      </c>
      <c r="R165" s="141"/>
      <c r="S165" s="140">
        <f>T165+U165</f>
        <v>117525.83000000002</v>
      </c>
      <c r="T165" s="140">
        <f>50345+203.12</f>
        <v>50548.12</v>
      </c>
      <c r="U165" s="140">
        <f>5983.71+60994</f>
        <v>66977.710000000006</v>
      </c>
      <c r="V165" s="161" t="s">
        <v>184</v>
      </c>
      <c r="W165" s="161" t="s">
        <v>184</v>
      </c>
      <c r="X165" s="161" t="s">
        <v>184</v>
      </c>
      <c r="Y165" s="140">
        <f>Z165+AA165</f>
        <v>181907</v>
      </c>
      <c r="Z165" s="140">
        <f>79732+288</f>
        <v>80020</v>
      </c>
      <c r="AA165" s="140">
        <f>92745+9142</f>
        <v>101887</v>
      </c>
      <c r="AB165" s="141"/>
    </row>
    <row r="166" spans="1:28" s="156" customFormat="1" ht="184.5" customHeight="1" x14ac:dyDescent="0.25">
      <c r="A166" s="139" t="s">
        <v>208</v>
      </c>
      <c r="B166" s="166" t="s">
        <v>210</v>
      </c>
      <c r="C166" s="142">
        <v>669.4</v>
      </c>
      <c r="D166" s="142">
        <v>304.03332999999998</v>
      </c>
      <c r="E166" s="140">
        <v>365.36667</v>
      </c>
      <c r="F166" s="142">
        <f>G166+H166</f>
        <v>658.35</v>
      </c>
      <c r="G166" s="142">
        <f>(314+325+319+321+300+273+231+263)/8+1.8</f>
        <v>295.05</v>
      </c>
      <c r="H166" s="140">
        <f>329+34.3</f>
        <v>363.3</v>
      </c>
      <c r="I166" s="162" t="s">
        <v>184</v>
      </c>
      <c r="J166" s="162" t="s">
        <v>184</v>
      </c>
      <c r="K166" s="162" t="s">
        <v>184</v>
      </c>
      <c r="L166" s="142">
        <f>M166+N166</f>
        <v>671</v>
      </c>
      <c r="M166" s="142">
        <f>2+302</f>
        <v>304</v>
      </c>
      <c r="N166" s="140">
        <f>34+333</f>
        <v>367</v>
      </c>
      <c r="O166" s="142">
        <f>P166+Q166</f>
        <v>671</v>
      </c>
      <c r="P166" s="142">
        <f>2+302</f>
        <v>304</v>
      </c>
      <c r="Q166" s="140">
        <f>34+333</f>
        <v>367</v>
      </c>
      <c r="R166" s="143"/>
      <c r="S166" s="140">
        <f>T166+U166</f>
        <v>667.5</v>
      </c>
      <c r="T166" s="142">
        <f>297+2.6</f>
        <v>299.60000000000002</v>
      </c>
      <c r="U166" s="140">
        <f>35.9+332</f>
        <v>367.9</v>
      </c>
      <c r="V166" s="162" t="s">
        <v>184</v>
      </c>
      <c r="W166" s="162" t="s">
        <v>184</v>
      </c>
      <c r="X166" s="162" t="s">
        <v>184</v>
      </c>
      <c r="Y166" s="140">
        <f>Z166+AA166</f>
        <v>743</v>
      </c>
      <c r="Z166" s="142">
        <f>330+2</f>
        <v>332</v>
      </c>
      <c r="AA166" s="140">
        <f>370+41</f>
        <v>411</v>
      </c>
      <c r="AB166" s="143"/>
    </row>
    <row r="167" spans="1:28" s="156" customFormat="1" x14ac:dyDescent="0.25">
      <c r="B167" s="157"/>
      <c r="C167" s="158"/>
      <c r="D167" s="158"/>
      <c r="E167" s="159"/>
      <c r="F167" s="158"/>
      <c r="G167" s="158"/>
      <c r="H167" s="159"/>
      <c r="I167" s="158"/>
      <c r="J167" s="158"/>
      <c r="K167" s="159"/>
      <c r="L167" s="158"/>
      <c r="M167" s="158"/>
      <c r="N167" s="159"/>
      <c r="O167" s="158"/>
      <c r="P167" s="158"/>
      <c r="Q167" s="159"/>
      <c r="R167" s="160"/>
      <c r="S167" s="158"/>
      <c r="T167" s="158"/>
      <c r="U167" s="159"/>
      <c r="V167" s="158"/>
      <c r="W167" s="158"/>
      <c r="X167" s="159"/>
      <c r="Y167" s="158"/>
      <c r="Z167" s="158"/>
      <c r="AA167" s="159"/>
      <c r="AB167" s="160"/>
    </row>
    <row r="168" spans="1:28" s="156" customFormat="1" ht="15.75" x14ac:dyDescent="0.25">
      <c r="B168" s="144" t="s">
        <v>218</v>
      </c>
      <c r="C168" s="145"/>
      <c r="D168" s="145"/>
      <c r="E168" s="146"/>
      <c r="F168" s="147"/>
      <c r="G168" s="147"/>
      <c r="H168" s="148"/>
      <c r="I168" s="148"/>
      <c r="J168" s="148"/>
      <c r="K168" s="148"/>
      <c r="L168" s="149"/>
      <c r="M168" s="149"/>
      <c r="N168" s="149"/>
      <c r="O168" s="150"/>
      <c r="P168" s="150"/>
      <c r="Q168" s="150"/>
      <c r="R168" s="151"/>
      <c r="S168" s="152"/>
      <c r="T168" s="152"/>
      <c r="U168" s="152"/>
      <c r="V168" s="152"/>
      <c r="W168" s="152"/>
      <c r="X168" s="152"/>
      <c r="Y168" s="168"/>
      <c r="Z168" s="168"/>
      <c r="AA168" s="168"/>
      <c r="AB168" s="153"/>
    </row>
    <row r="169" spans="1:28" s="156" customFormat="1" ht="15.75" x14ac:dyDescent="0.25">
      <c r="B169" s="144" t="s">
        <v>219</v>
      </c>
      <c r="C169" s="145"/>
      <c r="D169" s="145"/>
      <c r="E169" s="146"/>
      <c r="F169" s="147"/>
      <c r="G169" s="147"/>
      <c r="H169" s="148"/>
      <c r="I169" s="148"/>
      <c r="J169" s="148"/>
      <c r="K169" s="148"/>
      <c r="L169" s="149"/>
      <c r="M169" s="149"/>
      <c r="N169" s="149"/>
      <c r="O169" s="150"/>
      <c r="P169" s="150"/>
      <c r="Q169" s="150"/>
      <c r="R169" s="151"/>
      <c r="S169" s="152"/>
      <c r="T169" s="152"/>
      <c r="U169" s="152"/>
      <c r="V169" s="152"/>
      <c r="W169" s="152"/>
      <c r="X169" s="152"/>
      <c r="Y169" s="152"/>
      <c r="Z169" s="152"/>
      <c r="AA169" s="152"/>
      <c r="AB169" s="153"/>
    </row>
    <row r="170" spans="1:28" s="156" customFormat="1" ht="15.75" x14ac:dyDescent="0.25">
      <c r="B170" s="144"/>
      <c r="C170" s="145"/>
      <c r="D170" s="145"/>
      <c r="E170" s="146"/>
      <c r="F170" s="147"/>
      <c r="G170" s="147"/>
      <c r="H170" s="148"/>
      <c r="I170" s="148"/>
      <c r="J170" s="148"/>
      <c r="K170" s="148"/>
      <c r="L170" s="149"/>
      <c r="M170" s="149"/>
      <c r="N170" s="149"/>
      <c r="O170" s="150"/>
      <c r="P170" s="150"/>
      <c r="Q170" s="150"/>
      <c r="R170" s="151"/>
      <c r="S170" s="152"/>
      <c r="T170" s="152"/>
      <c r="U170" s="152"/>
      <c r="V170" s="152"/>
      <c r="W170" s="152"/>
      <c r="X170" s="152"/>
      <c r="Y170" s="152"/>
      <c r="Z170" s="152"/>
      <c r="AA170" s="168"/>
      <c r="AB170" s="153"/>
    </row>
    <row r="171" spans="1:28" s="156" customFormat="1" ht="15.75" x14ac:dyDescent="0.25">
      <c r="B171" s="144" t="s">
        <v>225</v>
      </c>
      <c r="C171" s="145"/>
      <c r="D171" s="145"/>
      <c r="E171" s="146"/>
      <c r="F171" s="147"/>
      <c r="G171" s="147"/>
      <c r="H171" s="148"/>
      <c r="I171" s="148"/>
      <c r="J171" s="148"/>
      <c r="K171" s="148"/>
      <c r="L171" s="149"/>
      <c r="M171" s="149"/>
      <c r="N171" s="149"/>
      <c r="O171" s="150"/>
      <c r="P171" s="150"/>
      <c r="Q171" s="150"/>
      <c r="R171" s="151"/>
      <c r="S171" s="152"/>
      <c r="T171" s="152"/>
      <c r="U171" s="152"/>
      <c r="V171" s="152"/>
      <c r="W171" s="152"/>
      <c r="X171" s="152"/>
      <c r="Y171" s="152"/>
      <c r="Z171" s="152"/>
      <c r="AA171" s="152"/>
      <c r="AB171" s="153"/>
    </row>
    <row r="172" spans="1:28" s="156" customFormat="1" ht="15.75" x14ac:dyDescent="0.25">
      <c r="B172" s="145"/>
      <c r="C172" s="145"/>
      <c r="D172" s="145"/>
      <c r="E172" s="146"/>
      <c r="F172" s="147"/>
      <c r="G172" s="147"/>
      <c r="H172" s="148"/>
      <c r="I172" s="148"/>
      <c r="J172" s="148"/>
      <c r="K172" s="148"/>
      <c r="L172" s="149"/>
      <c r="M172" s="149"/>
      <c r="N172" s="149"/>
      <c r="O172" s="150"/>
      <c r="P172" s="150"/>
      <c r="Q172" s="150"/>
      <c r="R172" s="151"/>
      <c r="S172" s="152"/>
      <c r="T172" s="152"/>
      <c r="U172" s="152"/>
      <c r="V172" s="152"/>
      <c r="W172" s="152"/>
      <c r="X172" s="152"/>
      <c r="Y172" s="152"/>
      <c r="Z172" s="152"/>
      <c r="AA172" s="152"/>
      <c r="AB172" s="153"/>
    </row>
    <row r="173" spans="1:28" s="156" customFormat="1" x14ac:dyDescent="0.25">
      <c r="B173" s="154"/>
      <c r="C173" s="154"/>
      <c r="D173" s="154"/>
      <c r="E173" s="155"/>
      <c r="F173" s="149"/>
      <c r="G173" s="149"/>
      <c r="H173" s="148"/>
      <c r="I173" s="148"/>
      <c r="J173" s="148"/>
      <c r="K173" s="148"/>
      <c r="L173" s="149"/>
      <c r="M173" s="149"/>
      <c r="N173" s="149"/>
      <c r="O173" s="150"/>
      <c r="P173" s="150"/>
      <c r="Q173" s="150"/>
      <c r="R173" s="151"/>
      <c r="S173" s="152"/>
      <c r="T173" s="152"/>
      <c r="U173" s="152"/>
      <c r="V173" s="152"/>
      <c r="W173" s="152"/>
      <c r="X173" s="152"/>
      <c r="Y173" s="152"/>
      <c r="Z173" s="152"/>
      <c r="AA173" s="152"/>
      <c r="AB173" s="153"/>
    </row>
    <row r="174" spans="1:28" s="156" customFormat="1" x14ac:dyDescent="0.25"/>
    <row r="175" spans="1:28" s="156" customFormat="1" x14ac:dyDescent="0.25"/>
    <row r="176" spans="1:28" x14ac:dyDescent="0.25">
      <c r="B176" s="156"/>
      <c r="C176" s="156"/>
      <c r="D176" s="156"/>
      <c r="E176" s="156"/>
      <c r="F176" s="156"/>
      <c r="G176" s="156"/>
      <c r="H176" s="156"/>
      <c r="I176" s="156"/>
      <c r="J176" s="156"/>
      <c r="K176" s="156"/>
      <c r="L176" s="156"/>
      <c r="M176" s="156"/>
    </row>
    <row r="177" spans="2:13" x14ac:dyDescent="0.25">
      <c r="B177" s="15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</row>
    <row r="178" spans="2:13" x14ac:dyDescent="0.25">
      <c r="B178" s="156"/>
      <c r="C178" s="156"/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</row>
    <row r="179" spans="2:13" x14ac:dyDescent="0.25">
      <c r="B179" s="156"/>
      <c r="C179" s="156"/>
      <c r="D179" s="156"/>
      <c r="E179" s="156"/>
      <c r="F179" s="156"/>
      <c r="G179" s="156"/>
      <c r="H179" s="156"/>
      <c r="I179" s="156"/>
      <c r="J179" s="156"/>
      <c r="K179" s="156"/>
      <c r="L179" s="156"/>
      <c r="M179" s="156"/>
    </row>
    <row r="180" spans="2:13" x14ac:dyDescent="0.25">
      <c r="B180" s="156"/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</row>
    <row r="181" spans="2:13" x14ac:dyDescent="0.25">
      <c r="B181" s="156"/>
      <c r="C181" s="156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</row>
    <row r="182" spans="2:13" x14ac:dyDescent="0.25">
      <c r="B182" s="156"/>
      <c r="C182" s="156"/>
      <c r="D182" s="156"/>
      <c r="E182" s="156"/>
      <c r="F182" s="156"/>
      <c r="G182" s="156"/>
      <c r="H182" s="156"/>
      <c r="I182" s="156"/>
      <c r="J182" s="156"/>
      <c r="K182" s="156"/>
      <c r="L182" s="156"/>
      <c r="M182" s="156"/>
    </row>
    <row r="183" spans="2:13" x14ac:dyDescent="0.25">
      <c r="B183" s="156"/>
      <c r="C183" s="156"/>
      <c r="D183" s="156"/>
      <c r="E183" s="156"/>
      <c r="F183" s="156"/>
      <c r="G183" s="156"/>
      <c r="H183" s="156"/>
      <c r="I183" s="156"/>
      <c r="J183" s="156"/>
      <c r="K183" s="156"/>
      <c r="L183" s="156"/>
      <c r="M183" s="156"/>
    </row>
    <row r="184" spans="2:13" x14ac:dyDescent="0.25">
      <c r="B184" s="156"/>
      <c r="C184" s="156"/>
      <c r="D184" s="156"/>
      <c r="E184" s="156"/>
      <c r="F184" s="156"/>
      <c r="G184" s="156"/>
      <c r="H184" s="156"/>
      <c r="I184" s="156"/>
      <c r="J184" s="156"/>
      <c r="K184" s="156"/>
      <c r="L184" s="156"/>
      <c r="M184" s="156"/>
    </row>
    <row r="185" spans="2:13" x14ac:dyDescent="0.25">
      <c r="B185" s="156"/>
      <c r="C185" s="156"/>
      <c r="D185" s="156"/>
      <c r="E185" s="156"/>
      <c r="F185" s="156"/>
      <c r="G185" s="156"/>
      <c r="H185" s="156"/>
      <c r="I185" s="156"/>
      <c r="J185" s="156"/>
      <c r="K185" s="156"/>
      <c r="L185" s="156"/>
      <c r="M185" s="156"/>
    </row>
    <row r="186" spans="2:13" x14ac:dyDescent="0.25"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</row>
    <row r="187" spans="2:13" x14ac:dyDescent="0.25">
      <c r="B187" s="156"/>
      <c r="C187" s="156"/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</row>
    <row r="188" spans="2:13" x14ac:dyDescent="0.25">
      <c r="B188" s="156"/>
      <c r="C188" s="156"/>
      <c r="D188" s="156"/>
      <c r="E188" s="156"/>
      <c r="F188" s="156"/>
      <c r="G188" s="156"/>
      <c r="H188" s="156"/>
      <c r="I188" s="156"/>
      <c r="J188" s="156"/>
      <c r="K188" s="156"/>
      <c r="L188" s="156"/>
      <c r="M188" s="156"/>
    </row>
    <row r="189" spans="2:13" x14ac:dyDescent="0.25">
      <c r="B189" s="156"/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</row>
    <row r="190" spans="2:13" x14ac:dyDescent="0.25">
      <c r="B190" s="156"/>
      <c r="C190" s="156"/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</row>
    <row r="191" spans="2:13" x14ac:dyDescent="0.25">
      <c r="B191" s="156"/>
      <c r="C191" s="156"/>
      <c r="D191" s="156"/>
      <c r="E191" s="156"/>
      <c r="F191" s="156"/>
      <c r="G191" s="156"/>
      <c r="H191" s="156"/>
      <c r="I191" s="156"/>
      <c r="J191" s="156"/>
      <c r="K191" s="156"/>
      <c r="L191" s="156"/>
      <c r="M191" s="156"/>
    </row>
  </sheetData>
  <sheetProtection password="D17A" sheet="1" objects="1" scenarios="1"/>
  <mergeCells count="31"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J4:K4"/>
    <mergeCell ref="L4:L5"/>
    <mergeCell ref="M4:N4"/>
    <mergeCell ref="O4:O5"/>
    <mergeCell ref="P4:Q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2022-03-11T15:07:47Z</cp:lastPrinted>
  <dcterms:created xsi:type="dcterms:W3CDTF">2020-02-03T08:43:29Z</dcterms:created>
  <dcterms:modified xsi:type="dcterms:W3CDTF">2022-10-12T11:09:11Z</dcterms:modified>
</cp:coreProperties>
</file>