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485" yWindow="-240" windowWidth="17235" windowHeight="11565" tabRatio="239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Лист1!$A$1:$V$172</definedName>
  </definedNames>
  <calcPr calcId="145621"/>
</workbook>
</file>

<file path=xl/calcChain.xml><?xml version="1.0" encoding="utf-8"?>
<calcChain xmlns="http://schemas.openxmlformats.org/spreadsheetml/2006/main">
  <c r="M149" i="1" l="1"/>
  <c r="S155" i="1" l="1"/>
  <c r="S158" i="1"/>
  <c r="S157" i="1"/>
  <c r="S156" i="1"/>
  <c r="M157" i="1"/>
  <c r="O167" i="1"/>
  <c r="N167" i="1"/>
  <c r="M167" i="1"/>
  <c r="O166" i="1"/>
  <c r="N166" i="1"/>
  <c r="M166" i="1" s="1"/>
  <c r="M96" i="1"/>
  <c r="N95" i="1"/>
  <c r="M95" i="1"/>
  <c r="M94" i="1"/>
  <c r="N61" i="1"/>
  <c r="M61" i="1"/>
  <c r="N60" i="1"/>
  <c r="M60" i="1"/>
  <c r="N59" i="1"/>
  <c r="M59" i="1"/>
  <c r="N78" i="1"/>
  <c r="M78" i="1"/>
  <c r="N77" i="1"/>
  <c r="M77" i="1"/>
  <c r="M76" i="1"/>
  <c r="N74" i="1"/>
  <c r="N70" i="1"/>
  <c r="N69" i="1"/>
  <c r="N67" i="1"/>
  <c r="I78" i="1" l="1"/>
  <c r="I77" i="1"/>
  <c r="I76" i="1"/>
  <c r="K167" i="1" l="1"/>
  <c r="I167" i="1" s="1"/>
  <c r="J167" i="1"/>
  <c r="K166" i="1"/>
  <c r="J166" i="1"/>
  <c r="I166" i="1" s="1"/>
  <c r="S125" i="1" l="1"/>
  <c r="T132" i="1"/>
  <c r="S137" i="1"/>
  <c r="M126" i="1"/>
  <c r="M125" i="1"/>
  <c r="T87" i="1"/>
  <c r="T88" i="1"/>
  <c r="S88" i="1"/>
  <c r="S80" i="1"/>
  <c r="S39" i="1"/>
  <c r="T45" i="1"/>
  <c r="T69" i="1" l="1"/>
  <c r="T53" i="1" l="1"/>
  <c r="S53" i="1"/>
  <c r="T49" i="1"/>
  <c r="O149" i="1" l="1"/>
  <c r="K149" i="1"/>
  <c r="K150" i="1"/>
  <c r="S12" i="1"/>
  <c r="S152" i="1" l="1"/>
  <c r="S151" i="1"/>
  <c r="P151" i="1"/>
  <c r="Q77" i="1"/>
  <c r="Q78" i="1"/>
  <c r="Q74" i="1"/>
  <c r="P74" i="1"/>
  <c r="P77" i="1"/>
  <c r="P78" i="1"/>
  <c r="P76" i="1"/>
  <c r="P71" i="1"/>
  <c r="Q69" i="1"/>
  <c r="Q67" i="1"/>
  <c r="P69" i="1"/>
  <c r="P67" i="1"/>
  <c r="J78" i="1"/>
  <c r="J77" i="1"/>
  <c r="J74" i="1"/>
  <c r="J69" i="1"/>
  <c r="J67" i="1"/>
  <c r="Q61" i="1"/>
  <c r="P61" i="1"/>
  <c r="P60" i="1"/>
  <c r="Q59" i="1"/>
  <c r="P59" i="1"/>
  <c r="J61" i="1"/>
  <c r="J60" i="1"/>
  <c r="J59" i="1"/>
  <c r="I61" i="1"/>
  <c r="I60" i="1"/>
  <c r="I59" i="1"/>
  <c r="P96" i="1" l="1"/>
  <c r="P95" i="1"/>
  <c r="P94" i="1"/>
  <c r="I96" i="1"/>
  <c r="I95" i="1"/>
  <c r="I94" i="1"/>
  <c r="P73" i="1"/>
  <c r="P70" i="1"/>
  <c r="J76" i="1"/>
  <c r="J73" i="1"/>
  <c r="J70" i="1"/>
  <c r="Q60" i="1" l="1"/>
  <c r="N57" i="1" l="1"/>
  <c r="N53" i="1"/>
  <c r="J57" i="1"/>
  <c r="J53" i="1"/>
  <c r="N49" i="1"/>
  <c r="N48" i="1"/>
  <c r="N31" i="1"/>
  <c r="M49" i="1"/>
  <c r="M48" i="1"/>
  <c r="M36" i="1"/>
  <c r="M33" i="1"/>
  <c r="M32" i="1"/>
  <c r="M31" i="1"/>
  <c r="M25" i="1"/>
  <c r="M12" i="1"/>
  <c r="P25" i="1" l="1"/>
  <c r="P12" i="1"/>
  <c r="Q55" i="1" l="1"/>
  <c r="Q53" i="1" s="1"/>
  <c r="P100" i="1"/>
  <c r="P80" i="1"/>
  <c r="Q84" i="1"/>
  <c r="Q80" i="1" s="1"/>
  <c r="P88" i="1"/>
  <c r="Q88" i="1"/>
  <c r="P55" i="1"/>
  <c r="P53" i="1" s="1"/>
  <c r="M84" i="1"/>
  <c r="M83" i="1"/>
  <c r="M63" i="1"/>
  <c r="M53" i="1"/>
  <c r="M104" i="1"/>
  <c r="M97" i="1"/>
  <c r="M62" i="1" s="1"/>
  <c r="M92" i="1"/>
  <c r="M57" i="1" s="1"/>
  <c r="M91" i="1"/>
  <c r="M90" i="1"/>
  <c r="I104" i="1"/>
  <c r="I84" i="1" s="1"/>
  <c r="I97" i="1"/>
  <c r="I62" i="1" s="1"/>
  <c r="I92" i="1"/>
  <c r="I57" i="1" s="1"/>
  <c r="I91" i="1"/>
  <c r="I90" i="1"/>
  <c r="I88" i="1"/>
  <c r="M102" i="1"/>
  <c r="M82" i="1" s="1"/>
  <c r="M80" i="1" s="1"/>
  <c r="M103" i="1"/>
  <c r="I103" i="1"/>
  <c r="I83" i="1" s="1"/>
  <c r="I102" i="1"/>
  <c r="I82" i="1" s="1"/>
  <c r="J100" i="1"/>
  <c r="N80" i="1"/>
  <c r="J80" i="1"/>
  <c r="I63" i="1"/>
  <c r="I53" i="1"/>
  <c r="J46" i="1"/>
  <c r="I40" i="1"/>
  <c r="I33" i="1"/>
  <c r="I31" i="1"/>
  <c r="I25" i="1"/>
  <c r="I12" i="1"/>
  <c r="M152" i="1"/>
  <c r="I157" i="1"/>
  <c r="M88" i="1" l="1"/>
  <c r="I100" i="1"/>
  <c r="I80" i="1"/>
  <c r="T33" i="1"/>
  <c r="N46" i="1" l="1"/>
  <c r="C70" i="1" l="1"/>
  <c r="S100" i="1"/>
  <c r="S87" i="1" s="1"/>
  <c r="U87" i="1" s="1"/>
  <c r="M39" i="1"/>
  <c r="M151" i="1" l="1"/>
  <c r="C125" i="1" l="1"/>
  <c r="N47" i="1" l="1"/>
  <c r="N43" i="1" l="1"/>
  <c r="N44" i="1" l="1"/>
  <c r="Q44" i="1" l="1"/>
  <c r="S119" i="1" l="1"/>
  <c r="P119" i="1" l="1"/>
  <c r="T100" i="1" l="1"/>
  <c r="N88" i="1"/>
  <c r="J88" i="1"/>
  <c r="M100" i="1" l="1"/>
  <c r="P39" i="1" l="1"/>
  <c r="K107" i="1" l="1"/>
  <c r="I39" i="1" l="1"/>
  <c r="S20" i="1" l="1"/>
  <c r="C128" i="1" l="1"/>
  <c r="H167" i="1" l="1"/>
  <c r="G167" i="1"/>
  <c r="H166" i="1"/>
  <c r="G166" i="1"/>
  <c r="F167" i="1" l="1"/>
  <c r="F166" i="1"/>
  <c r="Q46" i="1" l="1"/>
  <c r="Q45" i="1"/>
  <c r="Q43" i="1"/>
  <c r="C67" i="1"/>
  <c r="C78" i="1" l="1"/>
  <c r="C77" i="1"/>
  <c r="C76" i="1"/>
  <c r="D74" i="1"/>
  <c r="D69" i="1"/>
  <c r="D67" i="1"/>
  <c r="C74" i="1" l="1"/>
  <c r="C69" i="1"/>
  <c r="C71" i="1"/>
  <c r="D96" i="1" l="1"/>
  <c r="D95" i="1"/>
  <c r="D94" i="1"/>
  <c r="D61" i="1"/>
  <c r="D60" i="1"/>
  <c r="D59" i="1"/>
  <c r="C59" i="1" l="1"/>
  <c r="C61" i="1"/>
  <c r="C60" i="1"/>
  <c r="C57" i="1"/>
  <c r="C96" i="1" l="1"/>
  <c r="C94" i="1"/>
  <c r="S153" i="1" l="1"/>
  <c r="N45" i="1"/>
  <c r="O107" i="1" l="1"/>
  <c r="M119" i="1"/>
  <c r="J47" i="1" l="1"/>
  <c r="J49" i="1"/>
  <c r="F163" i="1"/>
  <c r="I163" i="1" s="1"/>
  <c r="S163" i="1" s="1"/>
  <c r="F162" i="1"/>
  <c r="F161" i="1"/>
  <c r="I161" i="1" s="1"/>
  <c r="S161" i="1" s="1"/>
  <c r="F160" i="1"/>
  <c r="I160" i="1" s="1"/>
  <c r="S160" i="1" s="1"/>
  <c r="F150" i="1"/>
  <c r="G150" i="1"/>
  <c r="G132" i="1"/>
  <c r="F119" i="1"/>
  <c r="G44" i="1"/>
  <c r="G45" i="1"/>
  <c r="G46" i="1"/>
  <c r="G47" i="1"/>
  <c r="G48" i="1"/>
  <c r="G49" i="1"/>
  <c r="G43" i="1"/>
  <c r="I162" i="1" l="1"/>
  <c r="S162" i="1" s="1"/>
  <c r="S159" i="1"/>
  <c r="I156" i="1"/>
  <c r="J44" i="1"/>
  <c r="T44" i="1"/>
  <c r="T46" i="1"/>
  <c r="J45" i="1"/>
  <c r="J43" i="1"/>
  <c r="T43" i="1"/>
  <c r="M163" i="1"/>
  <c r="M160" i="1"/>
  <c r="M161" i="1"/>
  <c r="T47" i="1"/>
  <c r="M162" i="1" l="1"/>
  <c r="C151" i="1"/>
  <c r="C119" i="1"/>
  <c r="D100" i="1"/>
  <c r="C100" i="1"/>
  <c r="D80" i="1"/>
  <c r="C80" i="1"/>
  <c r="D44" i="1"/>
  <c r="D45" i="1"/>
  <c r="D46" i="1"/>
  <c r="D47" i="1"/>
  <c r="D49" i="1"/>
  <c r="D43" i="1"/>
  <c r="U20" i="1" l="1"/>
  <c r="U19" i="1"/>
  <c r="R19" i="1"/>
  <c r="R18" i="1"/>
  <c r="O19" i="1"/>
  <c r="K19" i="1"/>
  <c r="H19" i="1"/>
  <c r="E19" i="1"/>
  <c r="T165" i="1"/>
  <c r="S165" i="1"/>
  <c r="Q165" i="1"/>
  <c r="P165" i="1"/>
  <c r="N165" i="1"/>
  <c r="M165" i="1"/>
  <c r="J165" i="1"/>
  <c r="I165" i="1"/>
  <c r="G165" i="1"/>
  <c r="F165" i="1"/>
  <c r="D165" i="1"/>
  <c r="C165" i="1"/>
  <c r="T164" i="1"/>
  <c r="S164" i="1"/>
  <c r="Q164" i="1"/>
  <c r="P164" i="1"/>
  <c r="N164" i="1"/>
  <c r="M164" i="1"/>
  <c r="J164" i="1"/>
  <c r="I164" i="1"/>
  <c r="G164" i="1"/>
  <c r="F164" i="1"/>
  <c r="D164" i="1"/>
  <c r="C164" i="1"/>
  <c r="V163" i="1"/>
  <c r="L163" i="1"/>
  <c r="V162" i="1"/>
  <c r="L162" i="1"/>
  <c r="V161" i="1"/>
  <c r="L161" i="1"/>
  <c r="V160" i="1"/>
  <c r="L160" i="1"/>
  <c r="M159" i="1"/>
  <c r="I159" i="1"/>
  <c r="F159" i="1"/>
  <c r="C159" i="1"/>
  <c r="V158" i="1"/>
  <c r="L158" i="1"/>
  <c r="V157" i="1"/>
  <c r="L157" i="1"/>
  <c r="V156" i="1"/>
  <c r="L156" i="1"/>
  <c r="V155" i="1"/>
  <c r="L155" i="1"/>
  <c r="V154" i="1"/>
  <c r="V153" i="1"/>
  <c r="U150" i="1"/>
  <c r="R150" i="1"/>
  <c r="O150" i="1"/>
  <c r="H150" i="1"/>
  <c r="E150" i="1"/>
  <c r="U149" i="1"/>
  <c r="R149" i="1"/>
  <c r="H149" i="1"/>
  <c r="E149" i="1"/>
  <c r="T145" i="1"/>
  <c r="S145" i="1"/>
  <c r="Q145" i="1"/>
  <c r="P145" i="1"/>
  <c r="N145" i="1"/>
  <c r="M145" i="1"/>
  <c r="J145" i="1"/>
  <c r="I145" i="1"/>
  <c r="G145" i="1"/>
  <c r="F145" i="1"/>
  <c r="D145" i="1"/>
  <c r="C145" i="1"/>
  <c r="R144" i="1"/>
  <c r="O144" i="1"/>
  <c r="K144" i="1"/>
  <c r="H144" i="1"/>
  <c r="E144" i="1"/>
  <c r="U143" i="1"/>
  <c r="R143" i="1"/>
  <c r="O143" i="1"/>
  <c r="K143" i="1"/>
  <c r="H143" i="1"/>
  <c r="E143" i="1"/>
  <c r="U142" i="1"/>
  <c r="R142" i="1"/>
  <c r="O142" i="1"/>
  <c r="K142" i="1"/>
  <c r="H142" i="1"/>
  <c r="E142" i="1"/>
  <c r="U141" i="1"/>
  <c r="R141" i="1"/>
  <c r="O141" i="1"/>
  <c r="K141" i="1"/>
  <c r="H141" i="1"/>
  <c r="E141" i="1"/>
  <c r="U140" i="1"/>
  <c r="R140" i="1"/>
  <c r="O140" i="1"/>
  <c r="K140" i="1"/>
  <c r="H140" i="1"/>
  <c r="E140" i="1"/>
  <c r="U139" i="1"/>
  <c r="R139" i="1"/>
  <c r="O139" i="1"/>
  <c r="K139" i="1"/>
  <c r="H139" i="1"/>
  <c r="E139" i="1"/>
  <c r="U138" i="1"/>
  <c r="R138" i="1"/>
  <c r="O138" i="1"/>
  <c r="K138" i="1"/>
  <c r="H138" i="1"/>
  <c r="E138" i="1"/>
  <c r="U137" i="1"/>
  <c r="R137" i="1"/>
  <c r="O137" i="1"/>
  <c r="K137" i="1"/>
  <c r="H137" i="1"/>
  <c r="E137" i="1"/>
  <c r="U136" i="1"/>
  <c r="R136" i="1"/>
  <c r="O136" i="1"/>
  <c r="K136" i="1"/>
  <c r="H136" i="1"/>
  <c r="E136" i="1"/>
  <c r="U135" i="1"/>
  <c r="R135" i="1"/>
  <c r="O135" i="1"/>
  <c r="K135" i="1"/>
  <c r="H135" i="1"/>
  <c r="E135" i="1"/>
  <c r="U134" i="1"/>
  <c r="R134" i="1"/>
  <c r="O134" i="1"/>
  <c r="K134" i="1"/>
  <c r="H134" i="1"/>
  <c r="E134" i="1"/>
  <c r="U133" i="1"/>
  <c r="R133" i="1"/>
  <c r="O133" i="1"/>
  <c r="K133" i="1"/>
  <c r="H133" i="1"/>
  <c r="E133" i="1"/>
  <c r="U132" i="1"/>
  <c r="R132" i="1"/>
  <c r="O132" i="1"/>
  <c r="K132" i="1"/>
  <c r="H132" i="1"/>
  <c r="E132" i="1"/>
  <c r="U131" i="1"/>
  <c r="R131" i="1"/>
  <c r="O131" i="1"/>
  <c r="K131" i="1"/>
  <c r="H131" i="1"/>
  <c r="E131" i="1"/>
  <c r="T130" i="1"/>
  <c r="S130" i="1"/>
  <c r="Q130" i="1"/>
  <c r="P130" i="1"/>
  <c r="N130" i="1"/>
  <c r="M130" i="1"/>
  <c r="J130" i="1"/>
  <c r="I130" i="1"/>
  <c r="G130" i="1"/>
  <c r="F130" i="1"/>
  <c r="D130" i="1"/>
  <c r="C130" i="1"/>
  <c r="V129" i="1"/>
  <c r="M124" i="1"/>
  <c r="C124" i="1"/>
  <c r="S116" i="1"/>
  <c r="P116" i="1"/>
  <c r="M116" i="1"/>
  <c r="I116" i="1"/>
  <c r="F116" i="1"/>
  <c r="C116" i="1"/>
  <c r="S111" i="1"/>
  <c r="P111" i="1"/>
  <c r="M111" i="1"/>
  <c r="I111" i="1"/>
  <c r="F111" i="1"/>
  <c r="C111" i="1"/>
  <c r="U104" i="1"/>
  <c r="R104" i="1"/>
  <c r="O104" i="1"/>
  <c r="K104" i="1"/>
  <c r="H104" i="1"/>
  <c r="E104" i="1"/>
  <c r="U103" i="1"/>
  <c r="R103" i="1"/>
  <c r="O103" i="1"/>
  <c r="K103" i="1"/>
  <c r="H103" i="1"/>
  <c r="E103" i="1"/>
  <c r="U102" i="1"/>
  <c r="R102" i="1"/>
  <c r="O102" i="1"/>
  <c r="K102" i="1"/>
  <c r="H102" i="1"/>
  <c r="E102" i="1"/>
  <c r="U100" i="1"/>
  <c r="R100" i="1"/>
  <c r="O100" i="1"/>
  <c r="K100" i="1"/>
  <c r="H100" i="1"/>
  <c r="E100" i="1"/>
  <c r="U99" i="1"/>
  <c r="R99" i="1"/>
  <c r="O99" i="1"/>
  <c r="K99" i="1"/>
  <c r="H99" i="1"/>
  <c r="E99" i="1"/>
  <c r="U98" i="1"/>
  <c r="R98" i="1"/>
  <c r="O98" i="1"/>
  <c r="K98" i="1"/>
  <c r="H98" i="1"/>
  <c r="E98" i="1"/>
  <c r="U97" i="1"/>
  <c r="R97" i="1"/>
  <c r="O97" i="1"/>
  <c r="K97" i="1"/>
  <c r="H97" i="1"/>
  <c r="E97" i="1"/>
  <c r="U96" i="1"/>
  <c r="R96" i="1"/>
  <c r="O96" i="1"/>
  <c r="K96" i="1"/>
  <c r="H96" i="1"/>
  <c r="E96" i="1"/>
  <c r="U95" i="1"/>
  <c r="R95" i="1"/>
  <c r="O95" i="1"/>
  <c r="K95" i="1"/>
  <c r="H95" i="1"/>
  <c r="E95" i="1"/>
  <c r="U94" i="1"/>
  <c r="R94" i="1"/>
  <c r="O94" i="1"/>
  <c r="K94" i="1"/>
  <c r="H94" i="1"/>
  <c r="E94" i="1"/>
  <c r="U92" i="1"/>
  <c r="R92" i="1"/>
  <c r="O92" i="1"/>
  <c r="K92" i="1"/>
  <c r="H92" i="1"/>
  <c r="E92" i="1"/>
  <c r="U91" i="1"/>
  <c r="R91" i="1"/>
  <c r="O91" i="1"/>
  <c r="K91" i="1"/>
  <c r="H91" i="1"/>
  <c r="E91" i="1"/>
  <c r="U90" i="1"/>
  <c r="R90" i="1"/>
  <c r="O90" i="1"/>
  <c r="K90" i="1"/>
  <c r="H90" i="1"/>
  <c r="E90" i="1"/>
  <c r="U88" i="1"/>
  <c r="R88" i="1"/>
  <c r="O88" i="1"/>
  <c r="K88" i="1"/>
  <c r="H88" i="1"/>
  <c r="E88" i="1"/>
  <c r="Q87" i="1"/>
  <c r="P87" i="1"/>
  <c r="N87" i="1"/>
  <c r="M87" i="1"/>
  <c r="J87" i="1"/>
  <c r="I87" i="1"/>
  <c r="G87" i="1"/>
  <c r="F87" i="1"/>
  <c r="D87" i="1"/>
  <c r="C87" i="1"/>
  <c r="U85" i="1"/>
  <c r="R85" i="1"/>
  <c r="O85" i="1"/>
  <c r="K85" i="1"/>
  <c r="H85" i="1"/>
  <c r="E85" i="1"/>
  <c r="U84" i="1"/>
  <c r="R84" i="1"/>
  <c r="O84" i="1"/>
  <c r="K84" i="1"/>
  <c r="H84" i="1"/>
  <c r="E84" i="1"/>
  <c r="U83" i="1"/>
  <c r="R83" i="1"/>
  <c r="O83" i="1"/>
  <c r="K83" i="1"/>
  <c r="H83" i="1"/>
  <c r="E83" i="1"/>
  <c r="U82" i="1"/>
  <c r="R82" i="1"/>
  <c r="O82" i="1"/>
  <c r="K82" i="1"/>
  <c r="H82" i="1"/>
  <c r="E82" i="1"/>
  <c r="U80" i="1"/>
  <c r="R80" i="1"/>
  <c r="O80" i="1"/>
  <c r="K80" i="1"/>
  <c r="H80" i="1"/>
  <c r="E80" i="1"/>
  <c r="U79" i="1"/>
  <c r="R79" i="1"/>
  <c r="O79" i="1"/>
  <c r="K79" i="1"/>
  <c r="H79" i="1"/>
  <c r="E79" i="1"/>
  <c r="U78" i="1"/>
  <c r="R78" i="1"/>
  <c r="O78" i="1"/>
  <c r="K78" i="1"/>
  <c r="H78" i="1"/>
  <c r="E78" i="1"/>
  <c r="U77" i="1"/>
  <c r="R77" i="1"/>
  <c r="O77" i="1"/>
  <c r="K77" i="1"/>
  <c r="H77" i="1"/>
  <c r="E77" i="1"/>
  <c r="U76" i="1"/>
  <c r="R76" i="1"/>
  <c r="O76" i="1"/>
  <c r="K76" i="1"/>
  <c r="H76" i="1"/>
  <c r="E76" i="1"/>
  <c r="U74" i="1"/>
  <c r="R74" i="1"/>
  <c r="O74" i="1"/>
  <c r="K74" i="1"/>
  <c r="H74" i="1"/>
  <c r="E74" i="1"/>
  <c r="U73" i="1"/>
  <c r="R73" i="1"/>
  <c r="O73" i="1"/>
  <c r="K73" i="1"/>
  <c r="H73" i="1"/>
  <c r="E73" i="1"/>
  <c r="U72" i="1"/>
  <c r="R72" i="1"/>
  <c r="O72" i="1"/>
  <c r="K72" i="1"/>
  <c r="H72" i="1"/>
  <c r="E72" i="1"/>
  <c r="U71" i="1"/>
  <c r="R71" i="1"/>
  <c r="O71" i="1"/>
  <c r="K71" i="1"/>
  <c r="H71" i="1"/>
  <c r="E71" i="1"/>
  <c r="U70" i="1"/>
  <c r="R70" i="1"/>
  <c r="O70" i="1"/>
  <c r="K70" i="1"/>
  <c r="H70" i="1"/>
  <c r="E70" i="1"/>
  <c r="U69" i="1"/>
  <c r="R69" i="1"/>
  <c r="O69" i="1"/>
  <c r="K69" i="1"/>
  <c r="H69" i="1"/>
  <c r="E69" i="1"/>
  <c r="U67" i="1"/>
  <c r="R67" i="1"/>
  <c r="O67" i="1"/>
  <c r="K67" i="1"/>
  <c r="H67" i="1"/>
  <c r="E67" i="1"/>
  <c r="T66" i="1"/>
  <c r="S66" i="1"/>
  <c r="Q66" i="1"/>
  <c r="P66" i="1"/>
  <c r="N66" i="1"/>
  <c r="M66" i="1"/>
  <c r="J66" i="1"/>
  <c r="I66" i="1"/>
  <c r="G66" i="1"/>
  <c r="F66" i="1"/>
  <c r="D66" i="1"/>
  <c r="C66" i="1"/>
  <c r="U65" i="1"/>
  <c r="R65" i="1"/>
  <c r="O65" i="1"/>
  <c r="K65" i="1"/>
  <c r="H65" i="1"/>
  <c r="E65" i="1"/>
  <c r="U64" i="1"/>
  <c r="R64" i="1"/>
  <c r="O64" i="1"/>
  <c r="K64" i="1"/>
  <c r="H64" i="1"/>
  <c r="E64" i="1"/>
  <c r="U63" i="1"/>
  <c r="R63" i="1"/>
  <c r="O63" i="1"/>
  <c r="K63" i="1"/>
  <c r="H63" i="1"/>
  <c r="E63" i="1"/>
  <c r="U62" i="1"/>
  <c r="R62" i="1"/>
  <c r="O62" i="1"/>
  <c r="K62" i="1"/>
  <c r="H62" i="1"/>
  <c r="E62" i="1"/>
  <c r="U61" i="1"/>
  <c r="R61" i="1"/>
  <c r="O61" i="1"/>
  <c r="K61" i="1"/>
  <c r="H61" i="1"/>
  <c r="E61" i="1"/>
  <c r="U60" i="1"/>
  <c r="R60" i="1"/>
  <c r="O60" i="1"/>
  <c r="K60" i="1"/>
  <c r="H60" i="1"/>
  <c r="E60" i="1"/>
  <c r="U59" i="1"/>
  <c r="R59" i="1"/>
  <c r="O59" i="1"/>
  <c r="K59" i="1"/>
  <c r="H59" i="1"/>
  <c r="H165" i="1" s="1"/>
  <c r="E59" i="1"/>
  <c r="E165" i="1" s="1"/>
  <c r="U57" i="1"/>
  <c r="R57" i="1"/>
  <c r="O57" i="1"/>
  <c r="K57" i="1"/>
  <c r="H57" i="1"/>
  <c r="E57" i="1"/>
  <c r="U56" i="1"/>
  <c r="R56" i="1"/>
  <c r="O56" i="1"/>
  <c r="K56" i="1"/>
  <c r="H56" i="1"/>
  <c r="E56" i="1"/>
  <c r="U55" i="1"/>
  <c r="R55" i="1"/>
  <c r="O55" i="1"/>
  <c r="K55" i="1"/>
  <c r="H55" i="1"/>
  <c r="E55" i="1"/>
  <c r="U53" i="1"/>
  <c r="R53" i="1"/>
  <c r="O53" i="1"/>
  <c r="K53" i="1"/>
  <c r="H53" i="1"/>
  <c r="E53" i="1"/>
  <c r="T52" i="1"/>
  <c r="S52" i="1"/>
  <c r="Q52" i="1"/>
  <c r="Q51" i="1" s="1"/>
  <c r="Q105" i="1" s="1"/>
  <c r="P52" i="1"/>
  <c r="N52" i="1"/>
  <c r="M52" i="1"/>
  <c r="J52" i="1"/>
  <c r="I52" i="1"/>
  <c r="G52" i="1"/>
  <c r="F52" i="1"/>
  <c r="D52" i="1"/>
  <c r="C52" i="1"/>
  <c r="C51" i="1" s="1"/>
  <c r="C105" i="1" s="1"/>
  <c r="U49" i="1"/>
  <c r="R49" i="1"/>
  <c r="O49" i="1"/>
  <c r="K49" i="1"/>
  <c r="H49" i="1"/>
  <c r="E49" i="1"/>
  <c r="U48" i="1"/>
  <c r="R48" i="1"/>
  <c r="O48" i="1"/>
  <c r="K48" i="1"/>
  <c r="H48" i="1"/>
  <c r="E48" i="1"/>
  <c r="U47" i="1"/>
  <c r="R47" i="1"/>
  <c r="O47" i="1"/>
  <c r="K47" i="1"/>
  <c r="H47" i="1"/>
  <c r="E47" i="1"/>
  <c r="U46" i="1"/>
  <c r="R46" i="1"/>
  <c r="O46" i="1"/>
  <c r="K46" i="1"/>
  <c r="H46" i="1"/>
  <c r="E46" i="1"/>
  <c r="U45" i="1"/>
  <c r="R45" i="1"/>
  <c r="O45" i="1"/>
  <c r="K45" i="1"/>
  <c r="H45" i="1"/>
  <c r="E45" i="1"/>
  <c r="U44" i="1"/>
  <c r="R44" i="1"/>
  <c r="O44" i="1"/>
  <c r="K44" i="1"/>
  <c r="H44" i="1"/>
  <c r="E44" i="1"/>
  <c r="U43" i="1"/>
  <c r="R43" i="1"/>
  <c r="O43" i="1"/>
  <c r="K43" i="1"/>
  <c r="H43" i="1"/>
  <c r="E43" i="1"/>
  <c r="U42" i="1"/>
  <c r="R42" i="1"/>
  <c r="O42" i="1"/>
  <c r="K42" i="1"/>
  <c r="H42" i="1"/>
  <c r="E42" i="1"/>
  <c r="U41" i="1"/>
  <c r="R41" i="1"/>
  <c r="O41" i="1"/>
  <c r="K41" i="1"/>
  <c r="H41" i="1"/>
  <c r="E41" i="1"/>
  <c r="U40" i="1"/>
  <c r="R40" i="1"/>
  <c r="O40" i="1"/>
  <c r="K40" i="1"/>
  <c r="H40" i="1"/>
  <c r="E40" i="1"/>
  <c r="U39" i="1"/>
  <c r="R39" i="1"/>
  <c r="O39" i="1"/>
  <c r="K39" i="1"/>
  <c r="F39" i="1"/>
  <c r="H39" i="1" s="1"/>
  <c r="C39" i="1"/>
  <c r="T38" i="1"/>
  <c r="T37" i="1" s="1"/>
  <c r="Q38" i="1"/>
  <c r="Q37" i="1" s="1"/>
  <c r="N38" i="1"/>
  <c r="N37" i="1" s="1"/>
  <c r="J38" i="1"/>
  <c r="J37" i="1" s="1"/>
  <c r="G38" i="1"/>
  <c r="G37" i="1" s="1"/>
  <c r="D38" i="1"/>
  <c r="D37" i="1" s="1"/>
  <c r="U36" i="1"/>
  <c r="R36" i="1"/>
  <c r="O36" i="1"/>
  <c r="K36" i="1"/>
  <c r="H36" i="1"/>
  <c r="E36" i="1"/>
  <c r="U35" i="1"/>
  <c r="R35" i="1"/>
  <c r="O35" i="1"/>
  <c r="K35" i="1"/>
  <c r="H35" i="1"/>
  <c r="E35" i="1"/>
  <c r="U33" i="1"/>
  <c r="R33" i="1"/>
  <c r="O33" i="1"/>
  <c r="K33" i="1"/>
  <c r="H33" i="1"/>
  <c r="E33" i="1"/>
  <c r="U32" i="1"/>
  <c r="R32" i="1"/>
  <c r="O32" i="1"/>
  <c r="K32" i="1"/>
  <c r="H32" i="1"/>
  <c r="E32" i="1"/>
  <c r="U31" i="1"/>
  <c r="R31" i="1"/>
  <c r="O31" i="1"/>
  <c r="K31" i="1"/>
  <c r="H31" i="1"/>
  <c r="E31" i="1"/>
  <c r="U30" i="1"/>
  <c r="R30" i="1"/>
  <c r="O30" i="1"/>
  <c r="K30" i="1"/>
  <c r="H30" i="1"/>
  <c r="E30" i="1"/>
  <c r="U29" i="1"/>
  <c r="R29" i="1"/>
  <c r="O29" i="1"/>
  <c r="K29" i="1"/>
  <c r="H29" i="1"/>
  <c r="E29" i="1"/>
  <c r="U28" i="1"/>
  <c r="R28" i="1"/>
  <c r="O28" i="1"/>
  <c r="K28" i="1"/>
  <c r="H28" i="1"/>
  <c r="E28" i="1"/>
  <c r="U27" i="1"/>
  <c r="R27" i="1"/>
  <c r="O27" i="1"/>
  <c r="K27" i="1"/>
  <c r="H27" i="1"/>
  <c r="E27" i="1"/>
  <c r="U26" i="1"/>
  <c r="R26" i="1"/>
  <c r="O26" i="1"/>
  <c r="K26" i="1"/>
  <c r="H26" i="1"/>
  <c r="E26" i="1"/>
  <c r="U25" i="1"/>
  <c r="R25" i="1"/>
  <c r="O25" i="1"/>
  <c r="K25" i="1"/>
  <c r="H25" i="1"/>
  <c r="E25" i="1"/>
  <c r="U24" i="1"/>
  <c r="R24" i="1"/>
  <c r="O24" i="1"/>
  <c r="K24" i="1"/>
  <c r="H24" i="1"/>
  <c r="E24" i="1"/>
  <c r="U23" i="1"/>
  <c r="R23" i="1"/>
  <c r="O23" i="1"/>
  <c r="K23" i="1"/>
  <c r="H23" i="1"/>
  <c r="E23" i="1"/>
  <c r="T21" i="1"/>
  <c r="T7" i="1" s="1"/>
  <c r="S21" i="1"/>
  <c r="Q21" i="1"/>
  <c r="Q7" i="1" s="1"/>
  <c r="P21" i="1"/>
  <c r="N21" i="1"/>
  <c r="N7" i="1" s="1"/>
  <c r="M21" i="1"/>
  <c r="J21" i="1"/>
  <c r="J7" i="1" s="1"/>
  <c r="I21" i="1"/>
  <c r="G21" i="1"/>
  <c r="G7" i="1" s="1"/>
  <c r="F21" i="1"/>
  <c r="D21" i="1"/>
  <c r="D7" i="1" s="1"/>
  <c r="C21" i="1"/>
  <c r="R20" i="1"/>
  <c r="O20" i="1"/>
  <c r="K20" i="1"/>
  <c r="H20" i="1"/>
  <c r="E20" i="1"/>
  <c r="V20" i="1" s="1"/>
  <c r="U18" i="1"/>
  <c r="O18" i="1"/>
  <c r="K18" i="1"/>
  <c r="H18" i="1"/>
  <c r="E18" i="1"/>
  <c r="U17" i="1"/>
  <c r="R17" i="1"/>
  <c r="O17" i="1"/>
  <c r="K17" i="1"/>
  <c r="H17" i="1"/>
  <c r="E17" i="1"/>
  <c r="U16" i="1"/>
  <c r="R16" i="1"/>
  <c r="O16" i="1"/>
  <c r="K16" i="1"/>
  <c r="H16" i="1"/>
  <c r="E16" i="1"/>
  <c r="U15" i="1"/>
  <c r="R15" i="1"/>
  <c r="O15" i="1"/>
  <c r="K15" i="1"/>
  <c r="H15" i="1"/>
  <c r="E15" i="1"/>
  <c r="R14" i="1"/>
  <c r="O14" i="1"/>
  <c r="U14" i="1" s="1"/>
  <c r="K14" i="1"/>
  <c r="H14" i="1"/>
  <c r="E14" i="1"/>
  <c r="U13" i="1"/>
  <c r="R13" i="1"/>
  <c r="O13" i="1"/>
  <c r="K13" i="1"/>
  <c r="H13" i="1"/>
  <c r="E13" i="1"/>
  <c r="T12" i="1"/>
  <c r="Q12" i="1"/>
  <c r="P8" i="1"/>
  <c r="N12" i="1"/>
  <c r="J12" i="1"/>
  <c r="G12" i="1"/>
  <c r="F12" i="1"/>
  <c r="D12" i="1"/>
  <c r="C12" i="1"/>
  <c r="U11" i="1"/>
  <c r="R11" i="1"/>
  <c r="O11" i="1"/>
  <c r="K11" i="1"/>
  <c r="H11" i="1"/>
  <c r="E11" i="1"/>
  <c r="U10" i="1"/>
  <c r="R10" i="1"/>
  <c r="O10" i="1"/>
  <c r="K10" i="1"/>
  <c r="H10" i="1"/>
  <c r="E10" i="1"/>
  <c r="J51" i="1" l="1"/>
  <c r="J105" i="1" s="1"/>
  <c r="I51" i="1"/>
  <c r="I105" i="1" s="1"/>
  <c r="I146" i="1" s="1"/>
  <c r="E164" i="1"/>
  <c r="G51" i="1"/>
  <c r="G105" i="1" s="1"/>
  <c r="T51" i="1"/>
  <c r="T105" i="1" s="1"/>
  <c r="T146" i="1" s="1"/>
  <c r="H164" i="1"/>
  <c r="U165" i="1"/>
  <c r="E39" i="1"/>
  <c r="L41" i="1"/>
  <c r="R165" i="1"/>
  <c r="R164" i="1"/>
  <c r="K165" i="1"/>
  <c r="L165" i="1" s="1"/>
  <c r="S8" i="1"/>
  <c r="U8" i="1" s="1"/>
  <c r="M51" i="1"/>
  <c r="M105" i="1" s="1"/>
  <c r="M146" i="1" s="1"/>
  <c r="L45" i="1"/>
  <c r="V42" i="1"/>
  <c r="V47" i="1"/>
  <c r="V44" i="1"/>
  <c r="V46" i="1"/>
  <c r="V43" i="1"/>
  <c r="V48" i="1"/>
  <c r="P51" i="1"/>
  <c r="P105" i="1" s="1"/>
  <c r="R105" i="1" s="1"/>
  <c r="O164" i="1"/>
  <c r="N51" i="1"/>
  <c r="N105" i="1" s="1"/>
  <c r="N146" i="1" s="1"/>
  <c r="M8" i="1"/>
  <c r="O8" i="1" s="1"/>
  <c r="N6" i="1"/>
  <c r="N50" i="1" s="1"/>
  <c r="V64" i="1"/>
  <c r="V67" i="1"/>
  <c r="V70" i="1"/>
  <c r="V72" i="1"/>
  <c r="V76" i="1"/>
  <c r="V77" i="1"/>
  <c r="V78" i="1"/>
  <c r="V90" i="1"/>
  <c r="V99" i="1"/>
  <c r="V103" i="1"/>
  <c r="V104" i="1"/>
  <c r="E12" i="1"/>
  <c r="K12" i="1"/>
  <c r="R12" i="1"/>
  <c r="H21" i="1"/>
  <c r="O21" i="1"/>
  <c r="Q146" i="1"/>
  <c r="R130" i="1"/>
  <c r="U21" i="1"/>
  <c r="V49" i="1"/>
  <c r="P38" i="1"/>
  <c r="P37" i="1" s="1"/>
  <c r="R37" i="1" s="1"/>
  <c r="Q6" i="1"/>
  <c r="Q50" i="1" s="1"/>
  <c r="Q106" i="1" s="1"/>
  <c r="V74" i="1"/>
  <c r="V73" i="1"/>
  <c r="V69" i="1"/>
  <c r="V71" i="1"/>
  <c r="O165" i="1"/>
  <c r="V61" i="1"/>
  <c r="V60" i="1"/>
  <c r="V96" i="1"/>
  <c r="V95" i="1"/>
  <c r="V23" i="1"/>
  <c r="V24" i="1"/>
  <c r="V26" i="1"/>
  <c r="V29" i="1"/>
  <c r="V30" i="1"/>
  <c r="V31" i="1"/>
  <c r="V32" i="1"/>
  <c r="V33" i="1"/>
  <c r="V35" i="1"/>
  <c r="L49" i="1"/>
  <c r="F51" i="1"/>
  <c r="F105" i="1" s="1"/>
  <c r="F146" i="1" s="1"/>
  <c r="L142" i="1"/>
  <c r="V18" i="1"/>
  <c r="G6" i="1"/>
  <c r="G50" i="1" s="1"/>
  <c r="G106" i="1" s="1"/>
  <c r="U164" i="1"/>
  <c r="V164" i="1" s="1"/>
  <c r="K164" i="1"/>
  <c r="L164" i="1" s="1"/>
  <c r="J146" i="1"/>
  <c r="K130" i="1"/>
  <c r="J6" i="1"/>
  <c r="J50" i="1" s="1"/>
  <c r="J106" i="1" s="1"/>
  <c r="S51" i="1"/>
  <c r="S105" i="1" s="1"/>
  <c r="O145" i="1"/>
  <c r="K145" i="1"/>
  <c r="V139" i="1"/>
  <c r="V140" i="1"/>
  <c r="V141" i="1"/>
  <c r="V142" i="1"/>
  <c r="T6" i="1"/>
  <c r="T50" i="1" s="1"/>
  <c r="I38" i="1"/>
  <c r="K38" i="1" s="1"/>
  <c r="V40" i="1"/>
  <c r="G146" i="1"/>
  <c r="L139" i="1"/>
  <c r="V143" i="1"/>
  <c r="V144" i="1"/>
  <c r="H12" i="1"/>
  <c r="O12" i="1"/>
  <c r="K21" i="1"/>
  <c r="R21" i="1"/>
  <c r="L24" i="1"/>
  <c r="L26" i="1"/>
  <c r="D51" i="1"/>
  <c r="D105" i="1" s="1"/>
  <c r="E105" i="1" s="1"/>
  <c r="H130" i="1"/>
  <c r="O130" i="1"/>
  <c r="U130" i="1"/>
  <c r="R145" i="1"/>
  <c r="I8" i="1"/>
  <c r="V13" i="1"/>
  <c r="V15" i="1"/>
  <c r="V16" i="1"/>
  <c r="H145" i="1"/>
  <c r="U145" i="1"/>
  <c r="V132" i="1"/>
  <c r="V133" i="1"/>
  <c r="V134" i="1"/>
  <c r="V137" i="1"/>
  <c r="V138" i="1"/>
  <c r="F38" i="1"/>
  <c r="L141" i="1"/>
  <c r="L140" i="1"/>
  <c r="L138" i="1"/>
  <c r="L137" i="1"/>
  <c r="V136" i="1"/>
  <c r="L136" i="1"/>
  <c r="V135" i="1"/>
  <c r="L135" i="1"/>
  <c r="L134" i="1"/>
  <c r="L133" i="1"/>
  <c r="E145" i="1"/>
  <c r="L132" i="1"/>
  <c r="E130" i="1"/>
  <c r="V100" i="1"/>
  <c r="V102" i="1"/>
  <c r="V98" i="1"/>
  <c r="V97" i="1"/>
  <c r="V91" i="1"/>
  <c r="V88" i="1"/>
  <c r="V85" i="1"/>
  <c r="V84" i="1"/>
  <c r="V83" i="1"/>
  <c r="V82" i="1"/>
  <c r="V80" i="1"/>
  <c r="V79" i="1"/>
  <c r="V65" i="1"/>
  <c r="V63" i="1"/>
  <c r="V62" i="1"/>
  <c r="V57" i="1"/>
  <c r="V56" i="1"/>
  <c r="V53" i="1"/>
  <c r="L47" i="1"/>
  <c r="V45" i="1"/>
  <c r="L40" i="1"/>
  <c r="C38" i="1"/>
  <c r="E38" i="1" s="1"/>
  <c r="D6" i="1"/>
  <c r="D50" i="1" s="1"/>
  <c r="L44" i="1"/>
  <c r="L46" i="1"/>
  <c r="L48" i="1"/>
  <c r="L43" i="1"/>
  <c r="L42" i="1"/>
  <c r="V41" i="1"/>
  <c r="V36" i="1"/>
  <c r="L36" i="1"/>
  <c r="L35" i="1"/>
  <c r="L33" i="1"/>
  <c r="L32" i="1"/>
  <c r="E21" i="1"/>
  <c r="L31" i="1"/>
  <c r="L30" i="1"/>
  <c r="L29" i="1"/>
  <c r="L20" i="1"/>
  <c r="V19" i="1"/>
  <c r="L18" i="1"/>
  <c r="L17" i="1"/>
  <c r="V17" i="1"/>
  <c r="L16" i="1"/>
  <c r="L15" i="1"/>
  <c r="L14" i="1"/>
  <c r="C8" i="1"/>
  <c r="E8" i="1" s="1"/>
  <c r="V14" i="1"/>
  <c r="L13" i="1"/>
  <c r="V10" i="1"/>
  <c r="L10" i="1"/>
  <c r="L23" i="1"/>
  <c r="L39" i="1"/>
  <c r="F8" i="1"/>
  <c r="E52" i="1"/>
  <c r="V39" i="1"/>
  <c r="L149" i="1"/>
  <c r="L150" i="1"/>
  <c r="L159" i="1"/>
  <c r="V159" i="1"/>
  <c r="H52" i="1"/>
  <c r="K52" i="1"/>
  <c r="O52" i="1"/>
  <c r="R52" i="1"/>
  <c r="U52" i="1"/>
  <c r="L53" i="1"/>
  <c r="L56" i="1"/>
  <c r="L57" i="1"/>
  <c r="L60" i="1"/>
  <c r="L61" i="1"/>
  <c r="L62" i="1"/>
  <c r="L63" i="1"/>
  <c r="L64" i="1"/>
  <c r="L65" i="1"/>
  <c r="E66" i="1"/>
  <c r="H66" i="1"/>
  <c r="K66" i="1"/>
  <c r="O66" i="1"/>
  <c r="R66" i="1"/>
  <c r="U66" i="1"/>
  <c r="L67" i="1"/>
  <c r="L69" i="1"/>
  <c r="L70" i="1"/>
  <c r="L71" i="1"/>
  <c r="L72" i="1"/>
  <c r="L73" i="1"/>
  <c r="L74" i="1"/>
  <c r="L76" i="1"/>
  <c r="L77" i="1"/>
  <c r="L78" i="1"/>
  <c r="L79" i="1"/>
  <c r="L80" i="1"/>
  <c r="L82" i="1"/>
  <c r="L83" i="1"/>
  <c r="L84" i="1"/>
  <c r="L85" i="1"/>
  <c r="E87" i="1"/>
  <c r="H87" i="1"/>
  <c r="K87" i="1"/>
  <c r="O87" i="1"/>
  <c r="R87" i="1"/>
  <c r="L88" i="1"/>
  <c r="L90" i="1"/>
  <c r="L91" i="1"/>
  <c r="L92" i="1"/>
  <c r="L97" i="1"/>
  <c r="L98" i="1"/>
  <c r="L99" i="1"/>
  <c r="L100" i="1"/>
  <c r="L102" i="1"/>
  <c r="L103" i="1"/>
  <c r="L104" i="1"/>
  <c r="L131" i="1"/>
  <c r="V131" i="1"/>
  <c r="V149" i="1"/>
  <c r="V150" i="1"/>
  <c r="L19" i="1"/>
  <c r="C146" i="1"/>
  <c r="M38" i="1"/>
  <c r="S38" i="1"/>
  <c r="H51" i="1"/>
  <c r="L55" i="1"/>
  <c r="V55" i="1"/>
  <c r="L59" i="1"/>
  <c r="V59" i="1"/>
  <c r="L95" i="1"/>
  <c r="L96" i="1"/>
  <c r="V165" i="1"/>
  <c r="V92" i="1"/>
  <c r="L143" i="1"/>
  <c r="L144" i="1"/>
  <c r="C37" i="1" l="1"/>
  <c r="E37" i="1" s="1"/>
  <c r="K51" i="1"/>
  <c r="K105" i="1"/>
  <c r="L105" i="1" s="1"/>
  <c r="T106" i="1"/>
  <c r="U105" i="1"/>
  <c r="V105" i="1" s="1"/>
  <c r="D146" i="1"/>
  <c r="V151" i="1"/>
  <c r="V152" i="1"/>
  <c r="O51" i="1"/>
  <c r="S7" i="1"/>
  <c r="U7" i="1" s="1"/>
  <c r="U12" i="1"/>
  <c r="V12" i="1" s="1"/>
  <c r="P146" i="1"/>
  <c r="L38" i="1"/>
  <c r="L12" i="1"/>
  <c r="N106" i="1"/>
  <c r="O105" i="1"/>
  <c r="O146" i="1" s="1"/>
  <c r="V21" i="1"/>
  <c r="R51" i="1"/>
  <c r="H105" i="1"/>
  <c r="H146" i="1" s="1"/>
  <c r="M7" i="1"/>
  <c r="O7" i="1" s="1"/>
  <c r="I37" i="1"/>
  <c r="K37" i="1" s="1"/>
  <c r="L37" i="1" s="1"/>
  <c r="E146" i="1"/>
  <c r="R146" i="1"/>
  <c r="R38" i="1"/>
  <c r="L66" i="1"/>
  <c r="V66" i="1"/>
  <c r="S146" i="1"/>
  <c r="E51" i="1"/>
  <c r="L51" i="1" s="1"/>
  <c r="L21" i="1"/>
  <c r="D106" i="1"/>
  <c r="U51" i="1"/>
  <c r="L52" i="1"/>
  <c r="L145" i="1"/>
  <c r="V130" i="1"/>
  <c r="K8" i="1"/>
  <c r="L8" i="1" s="1"/>
  <c r="I7" i="1"/>
  <c r="L130" i="1"/>
  <c r="L87" i="1"/>
  <c r="H38" i="1"/>
  <c r="F37" i="1"/>
  <c r="H37" i="1" s="1"/>
  <c r="V145" i="1"/>
  <c r="V87" i="1"/>
  <c r="V52" i="1"/>
  <c r="C7" i="1"/>
  <c r="E7" i="1" s="1"/>
  <c r="V8" i="1"/>
  <c r="R8" i="1"/>
  <c r="P7" i="1"/>
  <c r="H8" i="1"/>
  <c r="F7" i="1"/>
  <c r="U38" i="1"/>
  <c r="V38" i="1" s="1"/>
  <c r="S37" i="1"/>
  <c r="O38" i="1"/>
  <c r="M37" i="1"/>
  <c r="K146" i="1" l="1"/>
  <c r="U146" i="1"/>
  <c r="V51" i="1"/>
  <c r="K7" i="1"/>
  <c r="L7" i="1" s="1"/>
  <c r="I6" i="1"/>
  <c r="V7" i="1"/>
  <c r="C6" i="1"/>
  <c r="R7" i="1"/>
  <c r="P6" i="1"/>
  <c r="H7" i="1"/>
  <c r="F6" i="1"/>
  <c r="U37" i="1"/>
  <c r="V37" i="1" s="1"/>
  <c r="S6" i="1"/>
  <c r="O37" i="1"/>
  <c r="M6" i="1"/>
  <c r="I50" i="1" l="1"/>
  <c r="K6" i="1"/>
  <c r="K50" i="1" s="1"/>
  <c r="K106" i="1" s="1"/>
  <c r="C50" i="1"/>
  <c r="E6" i="1"/>
  <c r="F50" i="1"/>
  <c r="H6" i="1"/>
  <c r="H50" i="1" s="1"/>
  <c r="H106" i="1" s="1"/>
  <c r="P50" i="1"/>
  <c r="R6" i="1"/>
  <c r="R50" i="1" s="1"/>
  <c r="M50" i="1"/>
  <c r="O6" i="1"/>
  <c r="O50" i="1" s="1"/>
  <c r="S50" i="1"/>
  <c r="U6" i="1"/>
  <c r="I106" i="1" l="1"/>
  <c r="I110" i="1"/>
  <c r="I108" i="1" s="1"/>
  <c r="E50" i="1"/>
  <c r="L6" i="1"/>
  <c r="C106" i="1"/>
  <c r="C110" i="1"/>
  <c r="C108" i="1" s="1"/>
  <c r="P106" i="1"/>
  <c r="R106" i="1" s="1"/>
  <c r="P110" i="1"/>
  <c r="P108" i="1" s="1"/>
  <c r="F106" i="1"/>
  <c r="F110" i="1"/>
  <c r="F108" i="1" s="1"/>
  <c r="S106" i="1"/>
  <c r="U106" i="1" s="1"/>
  <c r="S110" i="1"/>
  <c r="S108" i="1" s="1"/>
  <c r="U50" i="1"/>
  <c r="V6" i="1"/>
  <c r="M106" i="1"/>
  <c r="O106" i="1" s="1"/>
  <c r="M110" i="1"/>
  <c r="M108" i="1" s="1"/>
  <c r="V50" i="1" l="1"/>
  <c r="P124" i="1"/>
  <c r="S124" i="1"/>
  <c r="E106" i="1"/>
  <c r="L50" i="1"/>
</calcChain>
</file>

<file path=xl/sharedStrings.xml><?xml version="1.0" encoding="utf-8"?>
<sst xmlns="http://schemas.openxmlformats.org/spreadsheetml/2006/main" count="714" uniqueCount="225">
  <si>
    <t>тыс.руб.</t>
  </si>
  <si>
    <t>№ п/п</t>
  </si>
  <si>
    <t>ПОКАЗАТЕЛИ</t>
  </si>
  <si>
    <t>Исполнение за отчетный финансовый год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</si>
  <si>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</si>
  <si>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</si>
  <si>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</si>
  <si>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</si>
  <si>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</si>
  <si>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</si>
  <si>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</si>
  <si>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</si>
  <si>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</si>
  <si>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</si>
  <si>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</si>
  <si>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</si>
  <si>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</si>
  <si>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</si>
  <si>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</si>
  <si>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</si>
  <si>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</si>
  <si>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</si>
  <si>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</si>
  <si>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</si>
  <si>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</si>
  <si>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</si>
  <si>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</si>
  <si>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</si>
  <si>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</si>
  <si>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</si>
  <si>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</si>
  <si>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</si>
  <si>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</si>
  <si>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</si>
  <si>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</si>
  <si>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</si>
  <si>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</si>
  <si>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</si>
  <si>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</si>
  <si>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</si>
  <si>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</si>
  <si>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</si>
  <si>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</si>
  <si>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</si>
  <si>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</si>
  <si>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</si>
  <si>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</si>
  <si>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</si>
  <si>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</si>
  <si>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</si>
  <si>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</si>
  <si>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</si>
  <si>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</si>
  <si>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</si>
  <si>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</si>
  <si>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</si>
  <si>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</si>
  <si>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</si>
  <si>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</si>
  <si>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</si>
  <si>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</si>
  <si>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</si>
  <si>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</si>
  <si>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</si>
  <si>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</si>
  <si>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</si>
  <si>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</si>
  <si>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</si>
  <si>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</si>
  <si>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</si>
  <si>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</si>
  <si>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</si>
  <si>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</si>
  <si>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</si>
  <si>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</si>
  <si>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</si>
  <si>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</si>
  <si>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</si>
  <si>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</si>
  <si>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</si>
  <si>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</si>
  <si>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</si>
  <si>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</si>
  <si>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</si>
  <si>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</si>
  <si>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</si>
  <si>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</si>
  <si>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</si>
  <si>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</si>
  <si>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</si>
  <si>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</si>
  <si>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</si>
  <si>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</si>
  <si>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</si>
  <si>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</si>
  <si>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</si>
  <si>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</si>
  <si>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</si>
  <si>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</si>
  <si>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</si>
  <si>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</si>
  <si>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</si>
  <si>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</si>
  <si>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</si>
  <si>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</si>
  <si>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</si>
  <si>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</si>
  <si>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</si>
  <si>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</si>
  <si>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</si>
  <si>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</si>
  <si>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</si>
  <si>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</si>
  <si>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</si>
  <si>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</si>
  <si>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</si>
  <si>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</si>
  <si>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</si>
  <si>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</si>
  <si>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</si>
  <si>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</si>
  <si>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</si>
  <si>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</si>
  <si>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</si>
  <si>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</si>
  <si>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</si>
  <si>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</si>
  <si>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</si>
  <si>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</si>
  <si>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</si>
  <si>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</si>
  <si>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</si>
  <si>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</si>
  <si>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</si>
  <si>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</si>
  <si>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</si>
  <si>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</si>
  <si>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</si>
  <si>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</si>
  <si>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</si>
  <si>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</si>
  <si>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</si>
  <si>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</si>
  <si>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</si>
  <si>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</si>
  <si>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</si>
  <si>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</si>
  <si>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</si>
  <si>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</si>
  <si>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</si>
  <si>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</si>
  <si>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</si>
  <si>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</si>
  <si>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</si>
  <si>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</si>
  <si>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</si>
  <si>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Остатки бюджетных средств на отчетную дату</t>
  </si>
  <si>
    <t>целевые</t>
  </si>
  <si>
    <t>нецелевые</t>
  </si>
  <si>
    <t>-за счет поступлений от юридических лиц для осуществления расходов в соответствии с заключенными соглашениями (договорами)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</si>
  <si>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</si>
  <si>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</si>
  <si>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</si>
  <si>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</si>
  <si>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</si>
  <si>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</si>
  <si>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</si>
  <si>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</si>
  <si>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</si>
  <si>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</si>
  <si>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</si>
  <si>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</si>
  <si>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</si>
  <si>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</si>
  <si>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</si>
  <si>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</si>
  <si>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</si>
  <si>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</si>
  <si>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</si>
  <si>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</si>
  <si>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</si>
  <si>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</si>
  <si>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</si>
  <si>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</si>
  <si>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</si>
  <si>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</si>
  <si>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</si>
  <si>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</si>
  <si>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</si>
  <si>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</si>
  <si>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</si>
  <si>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</si>
  <si>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</si>
  <si>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Штатные единицы в казенных учреждениях, ед. (факт за отчетный год, план на текущий год)</t>
  </si>
  <si>
    <t>Штатные единицы в органах местного самоуправления, ед. (факт за отчетный год, план на текущий год)</t>
  </si>
  <si>
    <t>Штатные единицы в бюджетных учреждениях (факт за отчетный год, план на текущий год)</t>
  </si>
  <si>
    <t>Штатные единицы в автономных учреждениях (факт за отчетный год, план на текущий год)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</si>
  <si>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</si>
  <si>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</si>
  <si>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</si>
  <si>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</si>
  <si>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</si>
  <si>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</si>
  <si>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</si>
  <si>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</si>
  <si>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</si>
  <si>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</si>
  <si>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</si>
  <si>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</si>
  <si>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</si>
  <si>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</si>
  <si>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</si>
  <si>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</si>
  <si>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2021 год (отчетный год)</t>
  </si>
  <si>
    <t>2022 год</t>
  </si>
  <si>
    <t>Темп роста к исполнению  2021 г. без ЦС</t>
  </si>
  <si>
    <t>Темп роста к  исполнению 2021г. без ЦС</t>
  </si>
  <si>
    <t>Исполнитель зам.начальника финансового управления - начальник бюджетного отдела   __________ Пикина Н.А.</t>
  </si>
  <si>
    <t xml:space="preserve">                                                    (должность)                                                     (ФИО)                                                50270</t>
  </si>
  <si>
    <t xml:space="preserve">Исполнено за 2022 </t>
  </si>
  <si>
    <t>Первоначальный план на 2023 год</t>
  </si>
  <si>
    <t>Ожидаемая оценка исполнения за январь 2023 года</t>
  </si>
  <si>
    <t>Специальные расходы (880)</t>
  </si>
  <si>
    <t>Паспорт муниципального образования Печенгский муниципальный округ  по исполнению бюджета на "01" января 2023 года</t>
  </si>
  <si>
    <t xml:space="preserve">" 10 февраля 2023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</si>
</sst>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5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164" fontId="4" fillId="0" borderId="0" xfId="0" applyNumberFormat="1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vertical="center" wrapText="1"/>
      <protection locked="0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3" fontId="18" fillId="0" borderId="3" xfId="0" applyNumberFormat="1" applyFont="1" applyFill="1" applyBorder="1" applyAlignment="1" applyProtection="1">
      <alignment vertical="center" wrapText="1"/>
      <protection locked="0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19" fillId="0" borderId="3" xfId="0" applyNumberFormat="1" applyFont="1" applyFill="1" applyBorder="1" applyAlignment="1" applyProtection="1">
      <alignment vertical="center" wrapText="1"/>
      <protection locked="0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164" fontId="12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vertical="center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3" fontId="11" fillId="0" borderId="3" xfId="0" applyNumberFormat="1" applyFont="1" applyFill="1" applyBorder="1" applyAlignment="1" applyProtection="1">
      <alignment vertical="center"/>
      <protection locked="0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9" fillId="0" borderId="3" xfId="0" applyNumberFormat="1" applyFont="1" applyFill="1" applyBorder="1" applyAlignment="1" applyProtection="1">
      <alignment vertical="center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3" fontId="7" fillId="0" borderId="3" xfId="0" applyNumberFormat="1" applyFont="1" applyFill="1" applyBorder="1" applyAlignment="1" applyProtection="1">
      <alignment horizontal="center" wrapText="1"/>
    </xf>
    <xf numFmtId="3" fontId="7" fillId="2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wrapText="1"/>
      <protection locked="0"/>
    </xf>
    <xf numFmtId="3" fontId="32" fillId="0" borderId="3" xfId="0" applyNumberFormat="1" applyFont="1" applyFill="1" applyBorder="1" applyAlignment="1" applyProtection="1">
      <alignment horizontal="center" wrapText="1"/>
    </xf>
    <xf numFmtId="3" fontId="8" fillId="0" borderId="3" xfId="0" applyNumberFormat="1" applyFont="1" applyFill="1" applyBorder="1" applyAlignment="1" applyProtection="1">
      <alignment horizontal="center" wrapText="1"/>
    </xf>
    <xf numFmtId="3" fontId="11" fillId="0" borderId="3" xfId="0" applyNumberFormat="1" applyFont="1" applyFill="1" applyBorder="1" applyAlignment="1" applyProtection="1">
      <alignment horizontal="center" wrapText="1"/>
      <protection locked="0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33" fillId="0" borderId="3" xfId="0" applyNumberFormat="1" applyFont="1" applyFill="1" applyBorder="1" applyAlignment="1" applyProtection="1">
      <alignment horizontal="center" wrapText="1"/>
    </xf>
    <xf numFmtId="3" fontId="8" fillId="0" borderId="3" xfId="0" applyNumberFormat="1" applyFont="1" applyFill="1" applyBorder="1" applyAlignment="1" applyProtection="1">
      <alignment horizontal="center" wrapText="1"/>
      <protection locked="0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3" fillId="2" borderId="3" xfId="0" applyNumberFormat="1" applyFont="1" applyFill="1" applyBorder="1" applyAlignment="1" applyProtection="1">
      <alignment horizontal="center" wrapText="1"/>
    </xf>
    <xf numFmtId="3" fontId="18" fillId="0" borderId="3" xfId="0" applyNumberFormat="1" applyFont="1" applyFill="1" applyBorder="1" applyAlignment="1" applyProtection="1">
      <alignment horizontal="center" wrapText="1"/>
      <protection locked="0"/>
    </xf>
    <xf numFmtId="3" fontId="12" fillId="0" borderId="3" xfId="0" applyNumberFormat="1" applyFont="1" applyFill="1" applyBorder="1" applyAlignment="1" applyProtection="1">
      <alignment horizontal="center" wrapText="1"/>
      <protection locked="0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3" fontId="7" fillId="2" borderId="3" xfId="0" applyNumberFormat="1" applyFont="1" applyFill="1" applyBorder="1" applyAlignment="1" applyProtection="1">
      <alignment horizontal="center" wrapText="1"/>
      <protection locked="0"/>
    </xf>
    <xf numFmtId="164" fontId="7" fillId="0" borderId="3" xfId="0" applyNumberFormat="1" applyFont="1" applyFill="1" applyBorder="1" applyAlignment="1" applyProtection="1">
      <alignment horizontal="center" wrapText="1"/>
    </xf>
    <xf numFmtId="0" fontId="6" fillId="0" borderId="3" xfId="0" applyFont="1" applyFill="1" applyBorder="1" applyAlignment="1" applyProtection="1">
      <alignment horizontal="justify" wrapText="1"/>
    </xf>
    <xf numFmtId="3" fontId="18" fillId="0" borderId="3" xfId="0" applyNumberFormat="1" applyFont="1" applyBorder="1" applyAlignment="1" applyProtection="1">
      <alignment wrapText="1"/>
    </xf>
    <xf numFmtId="3" fontId="0" fillId="2" borderId="3" xfId="0" applyNumberFormat="1" applyFont="1" applyFill="1" applyBorder="1" applyAlignment="1" applyProtection="1">
      <alignment wrapText="1"/>
      <protection locked="0"/>
    </xf>
    <xf numFmtId="0" fontId="18" fillId="0" borderId="3" xfId="0" applyFont="1" applyBorder="1" applyAlignment="1" applyProtection="1">
      <alignment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0" fillId="0" borderId="3" xfId="0" applyNumberFormat="1" applyFont="1" applyBorder="1" applyAlignment="1" applyProtection="1">
      <alignment wrapText="1"/>
      <protection locked="0"/>
    </xf>
    <xf numFmtId="3" fontId="11" fillId="0" borderId="3" xfId="0" applyNumberFormat="1" applyFont="1" applyFill="1" applyBorder="1" applyAlignment="1" applyProtection="1">
      <protection locked="0"/>
    </xf>
    <xf numFmtId="3" fontId="18" fillId="0" borderId="3" xfId="0" applyNumberFormat="1" applyFont="1" applyFill="1" applyBorder="1" applyAlignment="1" applyProtection="1">
      <protection locked="0"/>
    </xf>
    <xf numFmtId="3" fontId="18" fillId="0" borderId="3" xfId="0" applyNumberFormat="1" applyFont="1" applyFill="1" applyBorder="1" applyAlignment="1" applyProtection="1">
      <alignment horizontal="center"/>
      <protection locked="0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3" fontId="11" fillId="0" borderId="3" xfId="0" applyNumberFormat="1" applyFont="1" applyFill="1" applyBorder="1" applyAlignment="1" applyProtection="1">
      <alignment wrapText="1"/>
      <protection locked="0"/>
    </xf>
    <xf numFmtId="3" fontId="18" fillId="0" borderId="3" xfId="0" applyNumberFormat="1" applyFont="1" applyFill="1" applyBorder="1" applyAlignment="1" applyProtection="1">
      <alignment wrapText="1"/>
      <protection locked="0"/>
    </xf>
    <xf numFmtId="0" fontId="3" fillId="0" borderId="6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wrapText="1"/>
    </xf>
    <xf numFmtId="3" fontId="18" fillId="2" borderId="3" xfId="0" applyNumberFormat="1" applyFont="1" applyFill="1" applyBorder="1" applyAlignment="1" applyProtection="1">
      <alignment wrapText="1"/>
    </xf>
    <xf numFmtId="3" fontId="3" fillId="0" borderId="3" xfId="0" applyNumberFormat="1" applyFont="1" applyFill="1" applyBorder="1" applyAlignment="1" applyProtection="1">
      <alignment wrapText="1"/>
    </xf>
    <xf numFmtId="164" fontId="18" fillId="0" borderId="3" xfId="0" applyNumberFormat="1" applyFont="1" applyFill="1" applyBorder="1" applyAlignment="1" applyProtection="1">
      <alignment wrapText="1"/>
    </xf>
    <xf numFmtId="0" fontId="6" fillId="0" borderId="6" xfId="0" applyNumberFormat="1" applyFont="1" applyFill="1" applyBorder="1" applyAlignment="1" applyProtection="1">
      <alignment horizontal="justify" wrapText="1"/>
    </xf>
    <xf numFmtId="0" fontId="3" fillId="0" borderId="3" xfId="0" applyNumberFormat="1" applyFont="1" applyFill="1" applyBorder="1" applyAlignment="1" applyProtection="1">
      <alignment wrapText="1"/>
    </xf>
    <xf numFmtId="0" fontId="3" fillId="0" borderId="3" xfId="0" applyNumberFormat="1" applyFont="1" applyFill="1" applyBorder="1" applyAlignment="1" applyProtection="1">
      <alignment horizontal="center" wrapText="1"/>
    </xf>
    <xf numFmtId="0" fontId="3" fillId="2" borderId="3" xfId="0" applyNumberFormat="1" applyFont="1" applyFill="1" applyBorder="1" applyAlignment="1" applyProtection="1">
      <alignment horizontal="center" wrapText="1"/>
    </xf>
    <xf numFmtId="0" fontId="18" fillId="0" borderId="3" xfId="0" applyNumberFormat="1" applyFont="1" applyFill="1" applyBorder="1" applyAlignment="1" applyProtection="1">
      <alignment horizontal="center" wrapText="1"/>
    </xf>
    <xf numFmtId="164" fontId="18" fillId="0" borderId="3" xfId="0" applyNumberFormat="1" applyFont="1" applyFill="1" applyBorder="1" applyAlignment="1" applyProtection="1">
      <alignment horizontal="center" wrapText="1"/>
    </xf>
    <xf numFmtId="0" fontId="18" fillId="0" borderId="3" xfId="0" applyNumberFormat="1" applyFont="1" applyFill="1" applyBorder="1" applyAlignment="1" applyProtection="1">
      <alignment horizontal="center" wrapText="1"/>
      <protection locked="0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3" fillId="0" borderId="3" xfId="0" applyNumberFormat="1" applyFont="1" applyFill="1" applyBorder="1" applyAlignment="1" applyProtection="1">
      <alignment wrapText="1"/>
      <protection locked="0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1" fillId="0" borderId="3" xfId="0" applyNumberFormat="1" applyFont="1" applyFill="1" applyBorder="1" applyAlignment="1" applyProtection="1">
      <alignment wrapText="1"/>
      <protection locked="0"/>
    </xf>
    <xf numFmtId="0" fontId="18" fillId="0" borderId="3" xfId="0" applyFont="1" applyFill="1" applyBorder="1" applyAlignment="1" applyProtection="1">
      <alignment wrapText="1"/>
      <protection locked="0"/>
    </xf>
    <xf numFmtId="0" fontId="18" fillId="0" borderId="3" xfId="0" applyFont="1" applyFill="1" applyBorder="1" applyAlignment="1" applyProtection="1">
      <alignment horizontal="center" wrapText="1"/>
      <protection locked="0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0" fontId="18" fillId="0" borderId="3" xfId="0" applyNumberFormat="1" applyFont="1" applyFill="1" applyBorder="1" applyAlignment="1" applyProtection="1">
      <alignment wrapText="1"/>
      <protection locked="0"/>
    </xf>
    <xf numFmtId="3" fontId="6" fillId="0" borderId="3" xfId="0" applyNumberFormat="1" applyFont="1" applyFill="1" applyBorder="1" applyAlignment="1" applyProtection="1">
      <alignment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3" fontId="6" fillId="7" borderId="3" xfId="0" applyNumberFormat="1" applyFont="1" applyFill="1" applyBorder="1" applyAlignment="1" applyProtection="1">
      <alignment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7" borderId="3" xfId="0" applyNumberFormat="1" applyFont="1" applyFill="1" applyBorder="1" applyAlignment="1" applyProtection="1">
      <alignment horizont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0" xfId="0" applyNumberFormat="1" applyFont="1" applyFill="1" applyBorder="1" applyAlignment="1" applyProtection="1">
      <alignment horizontal="center" wrapText="1"/>
      <protection locked="0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2"/>
  <sheetViews>
    <sheetView tabSelected="1" view="pageBreakPreview" zoomScale="90" zoomScaleNormal="100" zoomScaleSheetLayoutView="90" workbookViewId="0">
      <pane xSplit="2" ySplit="6" topLeftCell="C73" activePane="bottomRight" state="frozen"/>
      <selection pane="topRight" activeCell="C1" sqref="C1"/>
      <selection pane="bottomLeft" activeCell="A7" sqref="A7"/>
      <selection pane="bottomRight" activeCell="M124" sqref="M124"/>
    </sheetView>
  </sheetViews>
  <sheetFormatPr defaultRowHeight="15" x14ac:dyDescent="0.25"/>
  <cols>
    <col min="1" max="1" width="4" customWidth="1"/>
    <col min="2" max="2" width="39.28515625" customWidth="1"/>
    <col min="3" max="11" width="12.42578125" customWidth="1"/>
    <col min="13" max="21" width="11" customWidth="1"/>
  </cols>
  <sheetData>
    <row r="1" spans="1:22" ht="18.75" x14ac:dyDescent="0.25">
      <c r="A1" s="1"/>
      <c r="B1" s="2"/>
      <c r="C1" s="173" t="s">
        <v>223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3"/>
      <c r="T1" s="4" t="s">
        <v>0</v>
      </c>
      <c r="U1" s="3"/>
      <c r="V1" s="5"/>
    </row>
    <row r="2" spans="1:22" x14ac:dyDescent="0.25">
      <c r="A2" s="174" t="s">
        <v>1</v>
      </c>
      <c r="B2" s="177" t="s">
        <v>2</v>
      </c>
      <c r="C2" s="178" t="s">
        <v>213</v>
      </c>
      <c r="D2" s="179"/>
      <c r="E2" s="179"/>
      <c r="F2" s="178" t="s">
        <v>214</v>
      </c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80"/>
    </row>
    <row r="3" spans="1:22" ht="24" customHeight="1" x14ac:dyDescent="0.25">
      <c r="A3" s="175"/>
      <c r="B3" s="177"/>
      <c r="C3" s="181" t="s">
        <v>3</v>
      </c>
      <c r="D3" s="181"/>
      <c r="E3" s="181"/>
      <c r="F3" s="167" t="s">
        <v>4</v>
      </c>
      <c r="G3" s="167"/>
      <c r="H3" s="167"/>
      <c r="I3" s="167" t="s">
        <v>5</v>
      </c>
      <c r="J3" s="167"/>
      <c r="K3" s="167"/>
      <c r="L3" s="168" t="s">
        <v>216</v>
      </c>
      <c r="M3" s="170" t="s">
        <v>219</v>
      </c>
      <c r="N3" s="171"/>
      <c r="O3" s="172"/>
      <c r="P3" s="170" t="s">
        <v>220</v>
      </c>
      <c r="Q3" s="171"/>
      <c r="R3" s="172"/>
      <c r="S3" s="182" t="s">
        <v>221</v>
      </c>
      <c r="T3" s="183"/>
      <c r="U3" s="184"/>
      <c r="V3" s="168" t="s">
        <v>215</v>
      </c>
    </row>
    <row r="4" spans="1:22" ht="15" customHeight="1" x14ac:dyDescent="0.25">
      <c r="A4" s="175"/>
      <c r="B4" s="177"/>
      <c r="C4" s="181" t="s">
        <v>6</v>
      </c>
      <c r="D4" s="181" t="s">
        <v>7</v>
      </c>
      <c r="E4" s="181"/>
      <c r="F4" s="166" t="s">
        <v>6</v>
      </c>
      <c r="G4" s="167" t="s">
        <v>7</v>
      </c>
      <c r="H4" s="167"/>
      <c r="I4" s="166" t="s">
        <v>6</v>
      </c>
      <c r="J4" s="167" t="s">
        <v>7</v>
      </c>
      <c r="K4" s="167"/>
      <c r="L4" s="169"/>
      <c r="M4" s="162" t="s">
        <v>6</v>
      </c>
      <c r="N4" s="164" t="s">
        <v>8</v>
      </c>
      <c r="O4" s="165"/>
      <c r="P4" s="162" t="s">
        <v>6</v>
      </c>
      <c r="Q4" s="164" t="s">
        <v>8</v>
      </c>
      <c r="R4" s="165"/>
      <c r="S4" s="162" t="s">
        <v>6</v>
      </c>
      <c r="T4" s="164" t="s">
        <v>8</v>
      </c>
      <c r="U4" s="165"/>
      <c r="V4" s="168"/>
    </row>
    <row r="5" spans="1:22" ht="38.25" x14ac:dyDescent="0.25">
      <c r="A5" s="176"/>
      <c r="B5" s="177"/>
      <c r="C5" s="181"/>
      <c r="D5" s="6" t="s">
        <v>211</v>
      </c>
      <c r="E5" s="7" t="s">
        <v>9</v>
      </c>
      <c r="F5" s="166"/>
      <c r="G5" s="8" t="s">
        <v>211</v>
      </c>
      <c r="H5" s="9" t="s">
        <v>9</v>
      </c>
      <c r="I5" s="166"/>
      <c r="J5" s="8" t="s">
        <v>211</v>
      </c>
      <c r="K5" s="9" t="s">
        <v>9</v>
      </c>
      <c r="L5" s="169"/>
      <c r="M5" s="163"/>
      <c r="N5" s="8" t="s">
        <v>211</v>
      </c>
      <c r="O5" s="9" t="s">
        <v>10</v>
      </c>
      <c r="P5" s="163"/>
      <c r="Q5" s="8" t="s">
        <v>211</v>
      </c>
      <c r="R5" s="9" t="s">
        <v>10</v>
      </c>
      <c r="S5" s="163"/>
      <c r="T5" s="8" t="s">
        <v>211</v>
      </c>
      <c r="U5" s="9" t="s">
        <v>10</v>
      </c>
      <c r="V5" s="168"/>
    </row>
    <row r="6" spans="1:22" x14ac:dyDescent="0.25">
      <c r="A6" s="10" t="s">
        <v>11</v>
      </c>
      <c r="B6" s="11" t="s">
        <v>12</v>
      </c>
      <c r="C6" s="12">
        <f>C7+C37</f>
        <v>2654747.9537499999</v>
      </c>
      <c r="D6" s="12">
        <f>D7+D37</f>
        <v>1533077.9284899996</v>
      </c>
      <c r="E6" s="12">
        <f>C6-D6</f>
        <v>1121670.0252600003</v>
      </c>
      <c r="F6" s="12">
        <f>F7+F37</f>
        <v>3067542.8476100001</v>
      </c>
      <c r="G6" s="12">
        <f>G7+G37</f>
        <v>1871812.6376099999</v>
      </c>
      <c r="H6" s="12">
        <f>F6-G6</f>
        <v>1195730.2100000002</v>
      </c>
      <c r="I6" s="12">
        <f>I7+I37</f>
        <v>3378349.2861500001</v>
      </c>
      <c r="J6" s="12">
        <f>J7+J37</f>
        <v>2014790.3273800001</v>
      </c>
      <c r="K6" s="12">
        <f>I6-J6</f>
        <v>1363558.9587699999</v>
      </c>
      <c r="L6" s="13">
        <f>K6/E6</f>
        <v>1.215650706591656</v>
      </c>
      <c r="M6" s="12">
        <f>M7+M37</f>
        <v>3373105.6049599997</v>
      </c>
      <c r="N6" s="12">
        <f>N7+N37</f>
        <v>1954556.6343900003</v>
      </c>
      <c r="O6" s="12">
        <f>M6-N6</f>
        <v>1418548.9705699994</v>
      </c>
      <c r="P6" s="12">
        <f>P7+P37</f>
        <v>3048860.58164</v>
      </c>
      <c r="Q6" s="12">
        <f>Q7+Q37</f>
        <v>1741913.41864</v>
      </c>
      <c r="R6" s="12">
        <f>P6-Q6</f>
        <v>1306947.1629999999</v>
      </c>
      <c r="S6" s="12">
        <f>S7+S37</f>
        <v>79381.251909999992</v>
      </c>
      <c r="T6" s="12">
        <f>T7+T37</f>
        <v>43916.395700000001</v>
      </c>
      <c r="U6" s="12">
        <f>S6-T6</f>
        <v>35464.856209999991</v>
      </c>
      <c r="V6" s="13">
        <f>U6/E6</f>
        <v>3.1617904919746184E-2</v>
      </c>
    </row>
    <row r="7" spans="1:22" x14ac:dyDescent="0.25">
      <c r="A7" s="14" t="s">
        <v>13</v>
      </c>
      <c r="B7" s="15" t="s">
        <v>14</v>
      </c>
      <c r="C7" s="16">
        <f>C8+C21</f>
        <v>864765.21640999999</v>
      </c>
      <c r="D7" s="16">
        <f>D8+D21</f>
        <v>951.99649999999997</v>
      </c>
      <c r="E7" s="17">
        <f t="shared" ref="E7:E100" si="0">C7-D7</f>
        <v>863813.21990999999</v>
      </c>
      <c r="F7" s="16">
        <f>F8+F21</f>
        <v>871999.98</v>
      </c>
      <c r="G7" s="16">
        <f>G8+G21</f>
        <v>0</v>
      </c>
      <c r="H7" s="17">
        <f t="shared" ref="H7:H48" si="1">F7-G7</f>
        <v>871999.98</v>
      </c>
      <c r="I7" s="16">
        <f>I8+I21</f>
        <v>1019913.92738</v>
      </c>
      <c r="J7" s="16">
        <f>J8+J21</f>
        <v>1360.5746100000001</v>
      </c>
      <c r="K7" s="17">
        <f t="shared" ref="K7:K49" si="2">I7-J7</f>
        <v>1018553.35277</v>
      </c>
      <c r="L7" s="18">
        <f>K7/E7</f>
        <v>1.179136101756028</v>
      </c>
      <c r="M7" s="16">
        <f>M8+M21</f>
        <v>1074441.8439099998</v>
      </c>
      <c r="N7" s="16">
        <f>N8+N21</f>
        <v>1873.90669</v>
      </c>
      <c r="O7" s="17">
        <f t="shared" ref="O7:O49" si="3">M7-N7</f>
        <v>1072567.9372199997</v>
      </c>
      <c r="P7" s="16">
        <f>P8+P21</f>
        <v>983157.78899999987</v>
      </c>
      <c r="Q7" s="16">
        <f>Q8+Q21</f>
        <v>0</v>
      </c>
      <c r="R7" s="17">
        <f t="shared" ref="R7:R49" si="4">P7-Q7</f>
        <v>983157.78899999987</v>
      </c>
      <c r="S7" s="16">
        <f>S8+S21</f>
        <v>35500.591999999997</v>
      </c>
      <c r="T7" s="16">
        <f>T8+T21</f>
        <v>35.735790000000001</v>
      </c>
      <c r="U7" s="17">
        <f t="shared" ref="U7:U49" si="5">S7-T7</f>
        <v>35464.856209999998</v>
      </c>
      <c r="V7" s="18">
        <f>U7/E7</f>
        <v>4.105616282845851E-2</v>
      </c>
    </row>
    <row r="8" spans="1:22" ht="19.5" x14ac:dyDescent="0.25">
      <c r="A8" s="19" t="s">
        <v>15</v>
      </c>
      <c r="B8" s="20" t="s">
        <v>16</v>
      </c>
      <c r="C8" s="21">
        <f>C10+C11+C12+C17+C18+C19+C20</f>
        <v>678512.71036999999</v>
      </c>
      <c r="D8" s="21"/>
      <c r="E8" s="17">
        <f t="shared" si="0"/>
        <v>678512.71036999999</v>
      </c>
      <c r="F8" s="21">
        <f>F10+F11+F12+F17+F18+F19+F20</f>
        <v>707721.16</v>
      </c>
      <c r="G8" s="21"/>
      <c r="H8" s="17">
        <f t="shared" si="1"/>
        <v>707721.16</v>
      </c>
      <c r="I8" s="21">
        <f>I10+I11+I12+I17+I18+I19+I20</f>
        <v>808600.91310000001</v>
      </c>
      <c r="J8" s="21"/>
      <c r="K8" s="17">
        <f t="shared" si="2"/>
        <v>808600.91310000001</v>
      </c>
      <c r="L8" s="22">
        <f>K8/E8</f>
        <v>1.1917255207482578</v>
      </c>
      <c r="M8" s="21">
        <f>M10+M11+M12+M17+M18+M19+M20</f>
        <v>851658.61907999986</v>
      </c>
      <c r="N8" s="21"/>
      <c r="O8" s="17">
        <f t="shared" si="3"/>
        <v>851658.61907999986</v>
      </c>
      <c r="P8" s="21">
        <f>P10+P11+P12+P17+P18+P19+P20</f>
        <v>811598.54999999993</v>
      </c>
      <c r="Q8" s="21"/>
      <c r="R8" s="17">
        <f t="shared" si="4"/>
        <v>811598.54999999993</v>
      </c>
      <c r="S8" s="21">
        <f>S10+S11+S12+S17+S18+S19+S20</f>
        <v>33734.691999999995</v>
      </c>
      <c r="T8" s="21"/>
      <c r="U8" s="17">
        <f t="shared" si="5"/>
        <v>33734.691999999995</v>
      </c>
      <c r="V8" s="22">
        <f>U8/E8</f>
        <v>4.9718585200274466E-2</v>
      </c>
    </row>
    <row r="9" spans="1:22" x14ac:dyDescent="0.25">
      <c r="A9" s="23"/>
      <c r="B9" s="24" t="s">
        <v>17</v>
      </c>
      <c r="C9" s="25"/>
      <c r="D9" s="25"/>
      <c r="E9" s="17"/>
      <c r="F9" s="25"/>
      <c r="G9" s="25"/>
      <c r="H9" s="17"/>
      <c r="I9" s="25"/>
      <c r="J9" s="25"/>
      <c r="K9" s="17"/>
      <c r="L9" s="18"/>
      <c r="M9" s="25"/>
      <c r="N9" s="25"/>
      <c r="O9" s="17"/>
      <c r="P9" s="25"/>
      <c r="Q9" s="25"/>
      <c r="R9" s="17"/>
      <c r="S9" s="25"/>
      <c r="T9" s="25"/>
      <c r="U9" s="17"/>
      <c r="V9" s="18"/>
    </row>
    <row r="10" spans="1:22" x14ac:dyDescent="0.25">
      <c r="A10" s="23" t="s">
        <v>18</v>
      </c>
      <c r="B10" s="24" t="s">
        <v>19</v>
      </c>
      <c r="C10" s="25">
        <v>602830.22973000002</v>
      </c>
      <c r="D10" s="25"/>
      <c r="E10" s="17">
        <f t="shared" si="0"/>
        <v>602830.22973000002</v>
      </c>
      <c r="F10" s="25">
        <v>643303.78</v>
      </c>
      <c r="G10" s="25"/>
      <c r="H10" s="17">
        <f t="shared" si="1"/>
        <v>643303.78</v>
      </c>
      <c r="I10" s="25">
        <v>663000</v>
      </c>
      <c r="J10" s="25"/>
      <c r="K10" s="17">
        <f t="shared" si="2"/>
        <v>663000</v>
      </c>
      <c r="L10" s="18">
        <f>K10/E10</f>
        <v>1.0998121316791782</v>
      </c>
      <c r="M10" s="25">
        <v>692706.45360999997</v>
      </c>
      <c r="N10" s="25"/>
      <c r="O10" s="17">
        <f t="shared" si="3"/>
        <v>692706.45360999997</v>
      </c>
      <c r="P10" s="25">
        <v>675049.9</v>
      </c>
      <c r="Q10" s="25"/>
      <c r="R10" s="17">
        <f t="shared" si="4"/>
        <v>675049.9</v>
      </c>
      <c r="S10" s="25">
        <v>29305.691999999999</v>
      </c>
      <c r="T10" s="25"/>
      <c r="U10" s="17">
        <f t="shared" si="5"/>
        <v>29305.691999999999</v>
      </c>
      <c r="V10" s="18">
        <f>U10/E10</f>
        <v>4.8613507675495382E-2</v>
      </c>
    </row>
    <row r="11" spans="1:22" x14ac:dyDescent="0.25">
      <c r="A11" s="23" t="s">
        <v>20</v>
      </c>
      <c r="B11" s="24" t="s">
        <v>21</v>
      </c>
      <c r="C11" s="25">
        <v>13555.22104</v>
      </c>
      <c r="D11" s="25"/>
      <c r="E11" s="17">
        <f t="shared" si="0"/>
        <v>13555.22104</v>
      </c>
      <c r="F11" s="25">
        <v>14434</v>
      </c>
      <c r="G11" s="25"/>
      <c r="H11" s="17">
        <f t="shared" si="1"/>
        <v>14434</v>
      </c>
      <c r="I11" s="25">
        <v>15434</v>
      </c>
      <c r="J11" s="25"/>
      <c r="K11" s="17">
        <f t="shared" si="2"/>
        <v>15434</v>
      </c>
      <c r="L11" s="18"/>
      <c r="M11" s="25">
        <v>15967.49015</v>
      </c>
      <c r="N11" s="25"/>
      <c r="O11" s="17">
        <f t="shared" si="3"/>
        <v>15967.49015</v>
      </c>
      <c r="P11" s="25">
        <v>14418.9</v>
      </c>
      <c r="Q11" s="25"/>
      <c r="R11" s="17">
        <f t="shared" si="4"/>
        <v>14418.9</v>
      </c>
      <c r="S11" s="25">
        <v>1354</v>
      </c>
      <c r="T11" s="25"/>
      <c r="U11" s="17">
        <f t="shared" si="5"/>
        <v>1354</v>
      </c>
      <c r="V11" s="18"/>
    </row>
    <row r="12" spans="1:22" x14ac:dyDescent="0.25">
      <c r="A12" s="23" t="s">
        <v>22</v>
      </c>
      <c r="B12" s="24" t="s">
        <v>23</v>
      </c>
      <c r="C12" s="26">
        <f>SUM(C13:C16)</f>
        <v>43087.130589999993</v>
      </c>
      <c r="D12" s="26">
        <f>SUM(D13:D16)</f>
        <v>0</v>
      </c>
      <c r="E12" s="17">
        <f>C12-D12</f>
        <v>43087.130589999993</v>
      </c>
      <c r="F12" s="26">
        <f>SUM(F13:F16)</f>
        <v>31775.38</v>
      </c>
      <c r="G12" s="26">
        <f>SUM(G13:G16)</f>
        <v>0</v>
      </c>
      <c r="H12" s="17">
        <f t="shared" si="1"/>
        <v>31775.38</v>
      </c>
      <c r="I12" s="26">
        <f>I13+I14+I15+I16</f>
        <v>108028.91310000001</v>
      </c>
      <c r="J12" s="26">
        <f>SUM(J13:J16)</f>
        <v>0</v>
      </c>
      <c r="K12" s="17">
        <f t="shared" si="2"/>
        <v>108028.91310000001</v>
      </c>
      <c r="L12" s="18">
        <f t="shared" ref="L12:L21" si="6">K12/E12</f>
        <v>2.5072199429560582</v>
      </c>
      <c r="M12" s="26">
        <f>M13+M14+M15+M16</f>
        <v>118522.77938000001</v>
      </c>
      <c r="N12" s="26">
        <f>SUM(N13:N16)</f>
        <v>0</v>
      </c>
      <c r="O12" s="17">
        <f t="shared" si="3"/>
        <v>118522.77938000001</v>
      </c>
      <c r="P12" s="26">
        <f>P13+P14+P15+P16</f>
        <v>103030.83</v>
      </c>
      <c r="Q12" s="26">
        <f>SUM(Q13:Q16)</f>
        <v>0</v>
      </c>
      <c r="R12" s="17">
        <f t="shared" si="4"/>
        <v>103030.83</v>
      </c>
      <c r="S12" s="26">
        <f>SUM(S13:S16)</f>
        <v>2260</v>
      </c>
      <c r="T12" s="26">
        <f>SUM(T13:T16)</f>
        <v>0</v>
      </c>
      <c r="U12" s="17">
        <f t="shared" si="5"/>
        <v>2260</v>
      </c>
      <c r="V12" s="18">
        <f t="shared" ref="V12:V21" si="7">U12/E12</f>
        <v>5.2451856715761871E-2</v>
      </c>
    </row>
    <row r="13" spans="1:22" ht="26.25" x14ac:dyDescent="0.25">
      <c r="A13" s="23"/>
      <c r="B13" s="24" t="s">
        <v>24</v>
      </c>
      <c r="C13" s="25">
        <v>37289.356959999997</v>
      </c>
      <c r="D13" s="25"/>
      <c r="E13" s="27">
        <f t="shared" si="0"/>
        <v>37289.356959999997</v>
      </c>
      <c r="F13" s="25">
        <v>29945.38</v>
      </c>
      <c r="G13" s="25"/>
      <c r="H13" s="27">
        <f t="shared" si="1"/>
        <v>29945.38</v>
      </c>
      <c r="I13" s="25">
        <v>106800.3131</v>
      </c>
      <c r="J13" s="25"/>
      <c r="K13" s="27">
        <f t="shared" si="2"/>
        <v>106800.3131</v>
      </c>
      <c r="L13" s="18">
        <f t="shared" si="6"/>
        <v>2.8640964019455701</v>
      </c>
      <c r="M13" s="25">
        <v>116993.46502</v>
      </c>
      <c r="N13" s="25"/>
      <c r="O13" s="27">
        <f t="shared" si="3"/>
        <v>116993.46502</v>
      </c>
      <c r="P13" s="25">
        <v>101251.2</v>
      </c>
      <c r="Q13" s="25"/>
      <c r="R13" s="27">
        <f t="shared" si="4"/>
        <v>101251.2</v>
      </c>
      <c r="S13" s="25">
        <v>2020</v>
      </c>
      <c r="T13" s="25"/>
      <c r="U13" s="27">
        <f t="shared" si="5"/>
        <v>2020</v>
      </c>
      <c r="V13" s="18">
        <f t="shared" si="7"/>
        <v>5.4170952912028981E-2</v>
      </c>
    </row>
    <row r="14" spans="1:22" ht="26.25" x14ac:dyDescent="0.25">
      <c r="A14" s="23"/>
      <c r="B14" s="24" t="s">
        <v>25</v>
      </c>
      <c r="C14" s="25">
        <v>4153.2111999999997</v>
      </c>
      <c r="D14" s="25"/>
      <c r="E14" s="27">
        <f t="shared" si="0"/>
        <v>4153.2111999999997</v>
      </c>
      <c r="F14" s="25">
        <v>0</v>
      </c>
      <c r="G14" s="25"/>
      <c r="H14" s="27">
        <f t="shared" si="1"/>
        <v>0</v>
      </c>
      <c r="I14" s="25">
        <v>28.6</v>
      </c>
      <c r="J14" s="25"/>
      <c r="K14" s="27">
        <f t="shared" si="2"/>
        <v>28.6</v>
      </c>
      <c r="L14" s="18">
        <f t="shared" si="6"/>
        <v>6.8862378103959664E-3</v>
      </c>
      <c r="M14" s="25">
        <v>13.042920000000001</v>
      </c>
      <c r="N14" s="25"/>
      <c r="O14" s="27">
        <f t="shared" si="3"/>
        <v>13.042920000000001</v>
      </c>
      <c r="P14" s="25">
        <v>60</v>
      </c>
      <c r="Q14" s="25"/>
      <c r="R14" s="27">
        <f t="shared" si="4"/>
        <v>60</v>
      </c>
      <c r="S14" s="25"/>
      <c r="T14" s="25"/>
      <c r="U14" s="27">
        <f t="shared" si="5"/>
        <v>0</v>
      </c>
      <c r="V14" s="18">
        <f t="shared" si="7"/>
        <v>0</v>
      </c>
    </row>
    <row r="15" spans="1:22" x14ac:dyDescent="0.25">
      <c r="A15" s="23"/>
      <c r="B15" s="24" t="s">
        <v>26</v>
      </c>
      <c r="C15" s="25"/>
      <c r="D15" s="25"/>
      <c r="E15" s="27">
        <f t="shared" si="0"/>
        <v>0</v>
      </c>
      <c r="F15" s="25"/>
      <c r="G15" s="25"/>
      <c r="H15" s="27">
        <f t="shared" si="1"/>
        <v>0</v>
      </c>
      <c r="I15" s="25">
        <v>0</v>
      </c>
      <c r="J15" s="25"/>
      <c r="K15" s="27">
        <f t="shared" si="2"/>
        <v>0</v>
      </c>
      <c r="L15" s="18" t="e">
        <f t="shared" si="6"/>
        <v>#DIV/0!</v>
      </c>
      <c r="M15" s="25"/>
      <c r="N15" s="25"/>
      <c r="O15" s="27">
        <f t="shared" si="3"/>
        <v>0</v>
      </c>
      <c r="P15" s="25"/>
      <c r="Q15" s="25"/>
      <c r="R15" s="27">
        <f t="shared" si="4"/>
        <v>0</v>
      </c>
      <c r="S15" s="25"/>
      <c r="T15" s="25"/>
      <c r="U15" s="27">
        <f t="shared" si="5"/>
        <v>0</v>
      </c>
      <c r="V15" s="18" t="e">
        <f t="shared" si="7"/>
        <v>#DIV/0!</v>
      </c>
    </row>
    <row r="16" spans="1:22" x14ac:dyDescent="0.25">
      <c r="A16" s="23"/>
      <c r="B16" s="24" t="s">
        <v>27</v>
      </c>
      <c r="C16" s="25">
        <v>1644.5624299999999</v>
      </c>
      <c r="D16" s="25"/>
      <c r="E16" s="27">
        <f t="shared" si="0"/>
        <v>1644.5624299999999</v>
      </c>
      <c r="F16" s="25">
        <v>1830</v>
      </c>
      <c r="G16" s="25"/>
      <c r="H16" s="27">
        <f t="shared" si="1"/>
        <v>1830</v>
      </c>
      <c r="I16" s="25">
        <v>1200</v>
      </c>
      <c r="J16" s="25"/>
      <c r="K16" s="27">
        <f t="shared" si="2"/>
        <v>1200</v>
      </c>
      <c r="L16" s="18">
        <f t="shared" si="6"/>
        <v>0.72967737685701606</v>
      </c>
      <c r="M16" s="25">
        <v>1516.27144</v>
      </c>
      <c r="N16" s="25"/>
      <c r="O16" s="27">
        <f t="shared" si="3"/>
        <v>1516.27144</v>
      </c>
      <c r="P16" s="25">
        <v>1719.63</v>
      </c>
      <c r="Q16" s="25"/>
      <c r="R16" s="27">
        <f t="shared" si="4"/>
        <v>1719.63</v>
      </c>
      <c r="S16" s="25">
        <v>240</v>
      </c>
      <c r="T16" s="25"/>
      <c r="U16" s="27">
        <f t="shared" si="5"/>
        <v>240</v>
      </c>
      <c r="V16" s="18">
        <f t="shared" si="7"/>
        <v>0.14593547537140319</v>
      </c>
    </row>
    <row r="17" spans="1:22" x14ac:dyDescent="0.25">
      <c r="A17" s="23" t="s">
        <v>28</v>
      </c>
      <c r="B17" s="24" t="s">
        <v>29</v>
      </c>
      <c r="C17" s="25">
        <v>8671.6651700000002</v>
      </c>
      <c r="D17" s="25"/>
      <c r="E17" s="17">
        <f t="shared" si="0"/>
        <v>8671.6651700000002</v>
      </c>
      <c r="F17" s="25">
        <v>8670</v>
      </c>
      <c r="G17" s="25"/>
      <c r="H17" s="17">
        <f t="shared" si="1"/>
        <v>8670</v>
      </c>
      <c r="I17" s="25">
        <v>8670</v>
      </c>
      <c r="J17" s="25"/>
      <c r="K17" s="17">
        <f>I17-J17</f>
        <v>8670</v>
      </c>
      <c r="L17" s="18">
        <f t="shared" si="6"/>
        <v>0.99980797575005997</v>
      </c>
      <c r="M17" s="25">
        <v>9326.9205399999992</v>
      </c>
      <c r="N17" s="25"/>
      <c r="O17" s="17">
        <f t="shared" si="3"/>
        <v>9326.9205399999992</v>
      </c>
      <c r="P17" s="25">
        <v>8671.2199999999993</v>
      </c>
      <c r="Q17" s="25"/>
      <c r="R17" s="17">
        <f t="shared" si="4"/>
        <v>8671.2199999999993</v>
      </c>
      <c r="S17" s="25">
        <v>300</v>
      </c>
      <c r="T17" s="25"/>
      <c r="U17" s="17">
        <f t="shared" si="5"/>
        <v>300</v>
      </c>
      <c r="V17" s="18">
        <f t="shared" si="7"/>
        <v>3.4595431686853285E-2</v>
      </c>
    </row>
    <row r="18" spans="1:22" x14ac:dyDescent="0.25">
      <c r="A18" s="23" t="s">
        <v>30</v>
      </c>
      <c r="B18" s="24" t="s">
        <v>31</v>
      </c>
      <c r="C18" s="25">
        <v>2921.5009300000002</v>
      </c>
      <c r="D18" s="25"/>
      <c r="E18" s="17">
        <f t="shared" si="0"/>
        <v>2921.5009300000002</v>
      </c>
      <c r="F18" s="25">
        <v>3300</v>
      </c>
      <c r="G18" s="25"/>
      <c r="H18" s="17">
        <f t="shared" si="1"/>
        <v>3300</v>
      </c>
      <c r="I18" s="25">
        <v>4268</v>
      </c>
      <c r="J18" s="25"/>
      <c r="K18" s="17">
        <f t="shared" si="2"/>
        <v>4268</v>
      </c>
      <c r="L18" s="18">
        <f t="shared" si="6"/>
        <v>1.4608929116445635</v>
      </c>
      <c r="M18" s="25">
        <v>5294.6281399999998</v>
      </c>
      <c r="N18" s="25"/>
      <c r="O18" s="17">
        <f t="shared" si="3"/>
        <v>5294.6281399999998</v>
      </c>
      <c r="P18" s="25">
        <v>2921</v>
      </c>
      <c r="Q18" s="25"/>
      <c r="R18" s="17">
        <f t="shared" si="4"/>
        <v>2921</v>
      </c>
      <c r="S18" s="25">
        <v>105</v>
      </c>
      <c r="T18" s="25"/>
      <c r="U18" s="17">
        <f t="shared" si="5"/>
        <v>105</v>
      </c>
      <c r="V18" s="18">
        <f t="shared" si="7"/>
        <v>3.5940430113092586E-2</v>
      </c>
    </row>
    <row r="19" spans="1:22" x14ac:dyDescent="0.25">
      <c r="A19" s="23" t="s">
        <v>32</v>
      </c>
      <c r="B19" s="24" t="s">
        <v>33</v>
      </c>
      <c r="C19" s="25">
        <v>7446.9629100000002</v>
      </c>
      <c r="D19" s="25"/>
      <c r="E19" s="17">
        <f t="shared" si="0"/>
        <v>7446.9629100000002</v>
      </c>
      <c r="F19" s="25">
        <v>6238</v>
      </c>
      <c r="G19" s="25"/>
      <c r="H19" s="17">
        <f t="shared" si="1"/>
        <v>6238</v>
      </c>
      <c r="I19" s="25">
        <v>9200</v>
      </c>
      <c r="J19" s="25"/>
      <c r="K19" s="17">
        <f t="shared" ref="K19" si="8">I19-J19</f>
        <v>9200</v>
      </c>
      <c r="L19" s="18">
        <f t="shared" si="6"/>
        <v>1.235402957042524</v>
      </c>
      <c r="M19" s="25">
        <v>9840.3472600000005</v>
      </c>
      <c r="N19" s="25"/>
      <c r="O19" s="17">
        <f t="shared" si="3"/>
        <v>9840.3472600000005</v>
      </c>
      <c r="P19" s="25">
        <v>7506.7</v>
      </c>
      <c r="Q19" s="25"/>
      <c r="R19" s="17">
        <f t="shared" si="4"/>
        <v>7506.7</v>
      </c>
      <c r="S19" s="25">
        <v>410</v>
      </c>
      <c r="T19" s="25"/>
      <c r="U19" s="17">
        <f t="shared" si="5"/>
        <v>410</v>
      </c>
      <c r="V19" s="18">
        <f t="shared" si="7"/>
        <v>5.5056001346460312E-2</v>
      </c>
    </row>
    <row r="20" spans="1:22" x14ac:dyDescent="0.25">
      <c r="A20" s="23" t="s">
        <v>34</v>
      </c>
      <c r="B20" s="24" t="s">
        <v>35</v>
      </c>
      <c r="C20" s="25"/>
      <c r="D20" s="25"/>
      <c r="E20" s="17">
        <f t="shared" si="0"/>
        <v>0</v>
      </c>
      <c r="F20" s="25"/>
      <c r="G20" s="25"/>
      <c r="H20" s="17">
        <f t="shared" si="1"/>
        <v>0</v>
      </c>
      <c r="I20" s="25"/>
      <c r="J20" s="25"/>
      <c r="K20" s="17">
        <f t="shared" si="2"/>
        <v>0</v>
      </c>
      <c r="L20" s="18" t="e">
        <f t="shared" si="6"/>
        <v>#DIV/0!</v>
      </c>
      <c r="M20" s="25">
        <v>0</v>
      </c>
      <c r="N20" s="25"/>
      <c r="O20" s="17">
        <f t="shared" si="3"/>
        <v>0</v>
      </c>
      <c r="P20" s="25"/>
      <c r="Q20" s="25">
        <v>0</v>
      </c>
      <c r="R20" s="17">
        <f t="shared" si="4"/>
        <v>0</v>
      </c>
      <c r="S20" s="25">
        <f t="shared" ref="S20" si="9">I20</f>
        <v>0</v>
      </c>
      <c r="T20" s="25"/>
      <c r="U20" s="17">
        <f t="shared" si="5"/>
        <v>0</v>
      </c>
      <c r="V20" s="18" t="e">
        <f t="shared" si="7"/>
        <v>#DIV/0!</v>
      </c>
    </row>
    <row r="21" spans="1:22" ht="19.5" x14ac:dyDescent="0.25">
      <c r="A21" s="19" t="s">
        <v>36</v>
      </c>
      <c r="B21" s="20" t="s">
        <v>37</v>
      </c>
      <c r="C21" s="28">
        <f>C23+C24+C25+C26+C27+C28+C29+C30+C31+C32+C33+C36</f>
        <v>186252.50603999998</v>
      </c>
      <c r="D21" s="28">
        <f>D23+D24+D25+D26+D27+D28+D29+D30+D31+D32+D33+D36</f>
        <v>951.99649999999997</v>
      </c>
      <c r="E21" s="29">
        <f>C21-D21</f>
        <v>185300.50953999997</v>
      </c>
      <c r="F21" s="28">
        <f>F23+F24+F25+F26+F27+F28+F29+F30+F31+F32+F33+F36</f>
        <v>164278.82</v>
      </c>
      <c r="G21" s="28">
        <f>G23+G24+G25+G26+G27+G28+G29+G30+G31+G32+G33+G36</f>
        <v>0</v>
      </c>
      <c r="H21" s="29">
        <f t="shared" si="1"/>
        <v>164278.82</v>
      </c>
      <c r="I21" s="28">
        <f>I23+I24+I25+I26+I27+I28+I29+I30+I31+I32+I33+I36</f>
        <v>211313.01427999997</v>
      </c>
      <c r="J21" s="28">
        <f>J23+J24+J25+J26+J27+J28+J29+J30+J31+J32+J33+J36</f>
        <v>1360.5746100000001</v>
      </c>
      <c r="K21" s="29">
        <f t="shared" si="2"/>
        <v>209952.43966999996</v>
      </c>
      <c r="L21" s="30">
        <f t="shared" si="6"/>
        <v>1.1330375733515103</v>
      </c>
      <c r="M21" s="28">
        <f>M23+M24+M25+M26+M27+M28+M29+M30+M31+M32+M33+M36</f>
        <v>222783.22482999996</v>
      </c>
      <c r="N21" s="28">
        <f>N23+N24+N25+N26+N27+N28+N29+N30+N31+N32+N33+N36</f>
        <v>1873.90669</v>
      </c>
      <c r="O21" s="29">
        <f t="shared" si="3"/>
        <v>220909.31813999996</v>
      </c>
      <c r="P21" s="28">
        <f>P23+P24+P25+P26+P27+P28+P29+P30+P31+P32+P33+P36</f>
        <v>171559.23899999997</v>
      </c>
      <c r="Q21" s="28">
        <f>Q23+Q24+Q25+Q26+Q27+Q28+Q29+Q30+Q31+Q32+Q33+Q36</f>
        <v>0</v>
      </c>
      <c r="R21" s="29">
        <f t="shared" si="4"/>
        <v>171559.23899999997</v>
      </c>
      <c r="S21" s="28">
        <f>S23+S24+S25+S26+S27+S28+S29+S30+S31+S32+S33+S36</f>
        <v>1765.8999999999999</v>
      </c>
      <c r="T21" s="28">
        <f>T23+T24+T25+T26+T27+T28+T29+T30+T31+T32+T33+T36</f>
        <v>35.735790000000001</v>
      </c>
      <c r="U21" s="29">
        <f t="shared" si="5"/>
        <v>1730.1642099999999</v>
      </c>
      <c r="V21" s="30">
        <f t="shared" si="7"/>
        <v>9.3370720582207425E-3</v>
      </c>
    </row>
    <row r="22" spans="1:22" x14ac:dyDescent="0.25">
      <c r="A22" s="23"/>
      <c r="B22" s="24" t="s">
        <v>17</v>
      </c>
      <c r="C22" s="25"/>
      <c r="D22" s="25"/>
      <c r="E22" s="17"/>
      <c r="F22" s="25"/>
      <c r="G22" s="25"/>
      <c r="H22" s="17"/>
      <c r="I22" s="25"/>
      <c r="J22" s="25"/>
      <c r="K22" s="17"/>
      <c r="L22" s="18"/>
      <c r="M22" s="25"/>
      <c r="N22" s="25"/>
      <c r="O22" s="17"/>
      <c r="P22" s="25"/>
      <c r="Q22" s="25"/>
      <c r="R22" s="17"/>
      <c r="S22" s="25"/>
      <c r="T22" s="25"/>
      <c r="U22" s="17"/>
      <c r="V22" s="18"/>
    </row>
    <row r="23" spans="1:22" ht="38.25" x14ac:dyDescent="0.25">
      <c r="A23" s="23" t="s">
        <v>18</v>
      </c>
      <c r="B23" s="31" t="s">
        <v>38</v>
      </c>
      <c r="C23" s="25"/>
      <c r="D23" s="25"/>
      <c r="E23" s="17">
        <f t="shared" si="0"/>
        <v>0</v>
      </c>
      <c r="F23" s="25"/>
      <c r="G23" s="25"/>
      <c r="H23" s="17">
        <f t="shared" si="1"/>
        <v>0</v>
      </c>
      <c r="I23" s="25"/>
      <c r="J23" s="25"/>
      <c r="K23" s="17">
        <f t="shared" si="2"/>
        <v>0</v>
      </c>
      <c r="L23" s="18" t="e">
        <f>K23/E23</f>
        <v>#DIV/0!</v>
      </c>
      <c r="M23" s="25"/>
      <c r="N23" s="25"/>
      <c r="O23" s="17">
        <f t="shared" si="3"/>
        <v>0</v>
      </c>
      <c r="P23" s="25"/>
      <c r="Q23" s="25"/>
      <c r="R23" s="17">
        <f t="shared" si="4"/>
        <v>0</v>
      </c>
      <c r="S23" s="25"/>
      <c r="T23" s="25"/>
      <c r="U23" s="17">
        <f t="shared" si="5"/>
        <v>0</v>
      </c>
      <c r="V23" s="18" t="e">
        <f>U23/E23</f>
        <v>#DIV/0!</v>
      </c>
    </row>
    <row r="24" spans="1:22" ht="25.5" x14ac:dyDescent="0.25">
      <c r="A24" s="23" t="s">
        <v>20</v>
      </c>
      <c r="B24" s="31" t="s">
        <v>39</v>
      </c>
      <c r="C24" s="25"/>
      <c r="D24" s="25"/>
      <c r="E24" s="17">
        <f>C24-D24</f>
        <v>0</v>
      </c>
      <c r="F24" s="25"/>
      <c r="G24" s="25"/>
      <c r="H24" s="17">
        <f t="shared" si="1"/>
        <v>0</v>
      </c>
      <c r="I24" s="25"/>
      <c r="J24" s="25"/>
      <c r="K24" s="17">
        <f t="shared" si="2"/>
        <v>0</v>
      </c>
      <c r="L24" s="18" t="e">
        <f>K24/E24</f>
        <v>#DIV/0!</v>
      </c>
      <c r="M24" s="25"/>
      <c r="N24" s="25"/>
      <c r="O24" s="17">
        <f t="shared" si="3"/>
        <v>0</v>
      </c>
      <c r="P24" s="25"/>
      <c r="Q24" s="25"/>
      <c r="R24" s="17">
        <f t="shared" si="4"/>
        <v>0</v>
      </c>
      <c r="S24" s="25"/>
      <c r="T24" s="25"/>
      <c r="U24" s="17">
        <f>S24-T24</f>
        <v>0</v>
      </c>
      <c r="V24" s="18" t="e">
        <f>U24/E24</f>
        <v>#DIV/0!</v>
      </c>
    </row>
    <row r="25" spans="1:22" ht="25.5" x14ac:dyDescent="0.25">
      <c r="A25" s="23" t="s">
        <v>22</v>
      </c>
      <c r="B25" s="31" t="s">
        <v>40</v>
      </c>
      <c r="C25" s="25">
        <v>128034.12422</v>
      </c>
      <c r="D25" s="25"/>
      <c r="E25" s="17">
        <f t="shared" ref="E25:E28" si="10">C25-D25</f>
        <v>128034.12422</v>
      </c>
      <c r="F25" s="25">
        <v>126567.59</v>
      </c>
      <c r="G25" s="25"/>
      <c r="H25" s="17">
        <f t="shared" si="1"/>
        <v>126567.59</v>
      </c>
      <c r="I25" s="25">
        <f>131716.3+2226.9</f>
        <v>133943.19999999998</v>
      </c>
      <c r="J25" s="25"/>
      <c r="K25" s="17">
        <f t="shared" si="2"/>
        <v>133943.19999999998</v>
      </c>
      <c r="L25" s="18"/>
      <c r="M25" s="25">
        <f>132647.40789+2435.48313</f>
        <v>135082.89102000001</v>
      </c>
      <c r="N25" s="25"/>
      <c r="O25" s="17">
        <f t="shared" si="3"/>
        <v>135082.89102000001</v>
      </c>
      <c r="P25" s="25">
        <f>134272.8+2347.6</f>
        <v>136620.4</v>
      </c>
      <c r="Q25" s="25"/>
      <c r="R25" s="17">
        <f t="shared" si="4"/>
        <v>136620.4</v>
      </c>
      <c r="S25" s="25">
        <v>400</v>
      </c>
      <c r="T25" s="25"/>
      <c r="U25" s="17">
        <f t="shared" si="5"/>
        <v>400</v>
      </c>
      <c r="V25" s="18"/>
    </row>
    <row r="26" spans="1:22" x14ac:dyDescent="0.25">
      <c r="A26" s="23" t="s">
        <v>28</v>
      </c>
      <c r="B26" s="31" t="s">
        <v>41</v>
      </c>
      <c r="C26" s="25"/>
      <c r="D26" s="25"/>
      <c r="E26" s="17">
        <f t="shared" si="10"/>
        <v>0</v>
      </c>
      <c r="F26" s="25"/>
      <c r="G26" s="25"/>
      <c r="H26" s="17">
        <f t="shared" si="1"/>
        <v>0</v>
      </c>
      <c r="I26" s="25"/>
      <c r="J26" s="25"/>
      <c r="K26" s="17">
        <f t="shared" si="2"/>
        <v>0</v>
      </c>
      <c r="L26" s="18" t="e">
        <f>K26/E26</f>
        <v>#DIV/0!</v>
      </c>
      <c r="M26" s="25"/>
      <c r="N26" s="25"/>
      <c r="O26" s="17">
        <f t="shared" si="3"/>
        <v>0</v>
      </c>
      <c r="P26" s="25"/>
      <c r="Q26" s="25"/>
      <c r="R26" s="17">
        <f t="shared" si="4"/>
        <v>0</v>
      </c>
      <c r="S26" s="25"/>
      <c r="T26" s="25"/>
      <c r="U26" s="17">
        <f t="shared" si="5"/>
        <v>0</v>
      </c>
      <c r="V26" s="18" t="e">
        <f>U26/E26</f>
        <v>#DIV/0!</v>
      </c>
    </row>
    <row r="27" spans="1:22" ht="38.25" x14ac:dyDescent="0.25">
      <c r="A27" s="23" t="s">
        <v>30</v>
      </c>
      <c r="B27" s="31" t="s">
        <v>42</v>
      </c>
      <c r="C27" s="25">
        <v>17565.206460000001</v>
      </c>
      <c r="D27" s="25"/>
      <c r="E27" s="17">
        <f t="shared" si="10"/>
        <v>17565.206460000001</v>
      </c>
      <c r="F27" s="25">
        <v>16530.72</v>
      </c>
      <c r="G27" s="25"/>
      <c r="H27" s="17">
        <f t="shared" si="1"/>
        <v>16530.72</v>
      </c>
      <c r="I27" s="25">
        <v>17662</v>
      </c>
      <c r="J27" s="25"/>
      <c r="K27" s="17">
        <f t="shared" si="2"/>
        <v>17662</v>
      </c>
      <c r="L27" s="18"/>
      <c r="M27" s="25">
        <v>20928.604070000001</v>
      </c>
      <c r="N27" s="25"/>
      <c r="O27" s="17">
        <f t="shared" si="3"/>
        <v>20928.604070000001</v>
      </c>
      <c r="P27" s="25"/>
      <c r="Q27" s="25"/>
      <c r="R27" s="17">
        <f t="shared" si="4"/>
        <v>0</v>
      </c>
      <c r="S27" s="25"/>
      <c r="T27" s="25"/>
      <c r="U27" s="17">
        <f t="shared" si="5"/>
        <v>0</v>
      </c>
      <c r="V27" s="18"/>
    </row>
    <row r="28" spans="1:22" ht="38.25" x14ac:dyDescent="0.25">
      <c r="A28" s="23" t="s">
        <v>32</v>
      </c>
      <c r="B28" s="31" t="s">
        <v>43</v>
      </c>
      <c r="C28" s="25"/>
      <c r="D28" s="25"/>
      <c r="E28" s="17">
        <f t="shared" si="10"/>
        <v>0</v>
      </c>
      <c r="F28" s="25"/>
      <c r="G28" s="25"/>
      <c r="H28" s="17">
        <f t="shared" si="1"/>
        <v>0</v>
      </c>
      <c r="I28" s="25"/>
      <c r="J28" s="25"/>
      <c r="K28" s="17">
        <f t="shared" si="2"/>
        <v>0</v>
      </c>
      <c r="L28" s="18"/>
      <c r="M28" s="25"/>
      <c r="N28" s="25"/>
      <c r="O28" s="17">
        <f t="shared" si="3"/>
        <v>0</v>
      </c>
      <c r="P28" s="25">
        <v>16794.8</v>
      </c>
      <c r="Q28" s="25"/>
      <c r="R28" s="17">
        <f t="shared" si="4"/>
        <v>16794.8</v>
      </c>
      <c r="S28" s="25">
        <v>1100</v>
      </c>
      <c r="T28" s="25"/>
      <c r="U28" s="17">
        <f t="shared" si="5"/>
        <v>1100</v>
      </c>
      <c r="V28" s="18"/>
    </row>
    <row r="29" spans="1:22" ht="25.5" x14ac:dyDescent="0.25">
      <c r="A29" s="23" t="s">
        <v>34</v>
      </c>
      <c r="B29" s="31" t="s">
        <v>44</v>
      </c>
      <c r="C29" s="25">
        <v>245.4</v>
      </c>
      <c r="D29" s="25"/>
      <c r="E29" s="17">
        <f t="shared" si="0"/>
        <v>245.4</v>
      </c>
      <c r="F29" s="25">
        <v>245</v>
      </c>
      <c r="G29" s="25"/>
      <c r="H29" s="17">
        <f t="shared" si="1"/>
        <v>245</v>
      </c>
      <c r="I29" s="25">
        <v>1</v>
      </c>
      <c r="J29" s="25"/>
      <c r="K29" s="17">
        <f t="shared" si="2"/>
        <v>1</v>
      </c>
      <c r="L29" s="18">
        <f>K29/E29</f>
        <v>4.0749796251018742E-3</v>
      </c>
      <c r="M29" s="25">
        <v>1</v>
      </c>
      <c r="N29" s="25"/>
      <c r="O29" s="17">
        <f t="shared" si="3"/>
        <v>1</v>
      </c>
      <c r="P29" s="25">
        <v>1</v>
      </c>
      <c r="Q29" s="25"/>
      <c r="R29" s="17">
        <f t="shared" si="4"/>
        <v>1</v>
      </c>
      <c r="S29" s="25">
        <v>0</v>
      </c>
      <c r="T29" s="25"/>
      <c r="U29" s="17">
        <f t="shared" si="5"/>
        <v>0</v>
      </c>
      <c r="V29" s="18">
        <f>U29/E29</f>
        <v>0</v>
      </c>
    </row>
    <row r="30" spans="1:22" ht="25.5" x14ac:dyDescent="0.25">
      <c r="A30" s="23" t="s">
        <v>45</v>
      </c>
      <c r="B30" s="31" t="s">
        <v>46</v>
      </c>
      <c r="C30" s="25">
        <v>20930.612959999999</v>
      </c>
      <c r="D30" s="25"/>
      <c r="E30" s="17">
        <f t="shared" si="0"/>
        <v>20930.612959999999</v>
      </c>
      <c r="F30" s="25">
        <v>13545.51</v>
      </c>
      <c r="G30" s="25"/>
      <c r="H30" s="17">
        <f t="shared" si="1"/>
        <v>13545.51</v>
      </c>
      <c r="I30" s="25">
        <v>34590</v>
      </c>
      <c r="J30" s="25"/>
      <c r="K30" s="17">
        <f t="shared" si="2"/>
        <v>34590</v>
      </c>
      <c r="L30" s="18">
        <f>K30/E30</f>
        <v>1.6526032976723679</v>
      </c>
      <c r="M30" s="25">
        <v>36337.310689999998</v>
      </c>
      <c r="N30" s="25"/>
      <c r="O30" s="17">
        <f t="shared" si="3"/>
        <v>36337.310689999998</v>
      </c>
      <c r="P30" s="25">
        <v>9500</v>
      </c>
      <c r="Q30" s="25"/>
      <c r="R30" s="17">
        <f t="shared" si="4"/>
        <v>9500</v>
      </c>
      <c r="S30" s="25">
        <v>0.25</v>
      </c>
      <c r="T30" s="25"/>
      <c r="U30" s="17">
        <f t="shared" si="5"/>
        <v>0.25</v>
      </c>
      <c r="V30" s="18">
        <f>U30/E30</f>
        <v>1.1944227361031858E-5</v>
      </c>
    </row>
    <row r="31" spans="1:22" ht="25.5" x14ac:dyDescent="0.25">
      <c r="A31" s="23" t="s">
        <v>47</v>
      </c>
      <c r="B31" s="31" t="s">
        <v>48</v>
      </c>
      <c r="C31" s="25">
        <v>5337.9565599999996</v>
      </c>
      <c r="D31" s="25">
        <v>81.996499999999997</v>
      </c>
      <c r="E31" s="17">
        <f t="shared" si="0"/>
        <v>5255.9600599999994</v>
      </c>
      <c r="F31" s="25">
        <v>1900</v>
      </c>
      <c r="G31" s="25"/>
      <c r="H31" s="17">
        <f t="shared" si="1"/>
        <v>1900</v>
      </c>
      <c r="I31" s="25">
        <f>538.27461+1170.26481+6504.02636+1283.13422</f>
        <v>9495.7000000000007</v>
      </c>
      <c r="J31" s="25">
        <v>796.07461000000001</v>
      </c>
      <c r="K31" s="17">
        <f t="shared" si="2"/>
        <v>8699.6253900000011</v>
      </c>
      <c r="L31" s="18">
        <f>K31/E31</f>
        <v>1.6551924464205312</v>
      </c>
      <c r="M31" s="25">
        <f>572.23803+1635.65427+7510.63278+1283.13422</f>
        <v>11001.659299999999</v>
      </c>
      <c r="N31" s="25">
        <f>1274.1709</f>
        <v>1274.1709000000001</v>
      </c>
      <c r="O31" s="17">
        <f t="shared" si="3"/>
        <v>9727.4883999999984</v>
      </c>
      <c r="P31" s="25">
        <v>2114.4</v>
      </c>
      <c r="Q31" s="25"/>
      <c r="R31" s="17">
        <f t="shared" si="4"/>
        <v>2114.4</v>
      </c>
      <c r="S31" s="25">
        <v>103.6</v>
      </c>
      <c r="T31" s="25"/>
      <c r="U31" s="17">
        <f t="shared" si="5"/>
        <v>103.6</v>
      </c>
      <c r="V31" s="18">
        <f>U31/E31</f>
        <v>1.9710956479376294E-2</v>
      </c>
    </row>
    <row r="32" spans="1:22" ht="25.5" x14ac:dyDescent="0.25">
      <c r="A32" s="23" t="s">
        <v>49</v>
      </c>
      <c r="B32" s="31" t="s">
        <v>50</v>
      </c>
      <c r="C32" s="25">
        <v>9417.3407900000002</v>
      </c>
      <c r="D32" s="25"/>
      <c r="E32" s="17">
        <f t="shared" si="0"/>
        <v>9417.3407900000002</v>
      </c>
      <c r="F32" s="25">
        <v>5190</v>
      </c>
      <c r="G32" s="25"/>
      <c r="H32" s="17">
        <f t="shared" si="1"/>
        <v>5190</v>
      </c>
      <c r="I32" s="25">
        <v>11995.842199999999</v>
      </c>
      <c r="J32" s="25"/>
      <c r="K32" s="17">
        <f t="shared" si="2"/>
        <v>11995.842199999999</v>
      </c>
      <c r="L32" s="18">
        <f>K32/E32</f>
        <v>1.2738035574477706</v>
      </c>
      <c r="M32" s="25">
        <f>14967.88038</f>
        <v>14967.880380000001</v>
      </c>
      <c r="N32" s="25"/>
      <c r="O32" s="17">
        <f t="shared" si="3"/>
        <v>14967.880380000001</v>
      </c>
      <c r="P32" s="25">
        <v>6002.1</v>
      </c>
      <c r="Q32" s="25"/>
      <c r="R32" s="17">
        <f t="shared" si="4"/>
        <v>6002.1</v>
      </c>
      <c r="S32" s="25">
        <v>125.3</v>
      </c>
      <c r="T32" s="25"/>
      <c r="U32" s="17">
        <f t="shared" si="5"/>
        <v>125.3</v>
      </c>
      <c r="V32" s="18">
        <f>U32/E32</f>
        <v>1.3305242190348725E-2</v>
      </c>
    </row>
    <row r="33" spans="1:22" x14ac:dyDescent="0.25">
      <c r="A33" s="23" t="s">
        <v>51</v>
      </c>
      <c r="B33" s="31" t="s">
        <v>52</v>
      </c>
      <c r="C33" s="25">
        <v>2630.6406400000001</v>
      </c>
      <c r="D33" s="25"/>
      <c r="E33" s="17">
        <f t="shared" si="0"/>
        <v>2630.6406400000001</v>
      </c>
      <c r="F33" s="25">
        <v>300</v>
      </c>
      <c r="G33" s="25"/>
      <c r="H33" s="17">
        <f t="shared" si="1"/>
        <v>300</v>
      </c>
      <c r="I33" s="25">
        <f>2045.06224+956.05997+26.59314+30+3.05673</f>
        <v>3060.7720799999997</v>
      </c>
      <c r="J33" s="25"/>
      <c r="K33" s="17">
        <f t="shared" si="2"/>
        <v>3060.7720799999997</v>
      </c>
      <c r="L33" s="18">
        <f>K33/E33</f>
        <v>1.163508247177387</v>
      </c>
      <c r="M33" s="25">
        <f>2879.70991+963.49249+860.29155+30+3.05673</f>
        <v>4736.5506800000003</v>
      </c>
      <c r="N33" s="25">
        <v>35.735790000000001</v>
      </c>
      <c r="O33" s="17">
        <f t="shared" si="3"/>
        <v>4700.8148900000006</v>
      </c>
      <c r="P33" s="25">
        <v>526.53899999999999</v>
      </c>
      <c r="Q33" s="25"/>
      <c r="R33" s="17">
        <f t="shared" si="4"/>
        <v>526.53899999999999</v>
      </c>
      <c r="S33" s="25">
        <v>36.75</v>
      </c>
      <c r="T33" s="25">
        <f>N33</f>
        <v>35.735790000000001</v>
      </c>
      <c r="U33" s="17">
        <f t="shared" si="5"/>
        <v>1.0142099999999985</v>
      </c>
      <c r="V33" s="18">
        <f>U33/E33</f>
        <v>3.8553726593382155E-4</v>
      </c>
    </row>
    <row r="34" spans="1:22" x14ac:dyDescent="0.25">
      <c r="A34" s="32"/>
      <c r="B34" s="33" t="s">
        <v>7</v>
      </c>
      <c r="C34" s="34"/>
      <c r="D34" s="34"/>
      <c r="E34" s="35"/>
      <c r="F34" s="34"/>
      <c r="G34" s="34"/>
      <c r="H34" s="35"/>
      <c r="I34" s="25"/>
      <c r="J34" s="34"/>
      <c r="K34" s="35"/>
      <c r="L34" s="36"/>
      <c r="M34" s="34"/>
      <c r="N34" s="34"/>
      <c r="O34" s="35"/>
      <c r="P34" s="34"/>
      <c r="Q34" s="34"/>
      <c r="R34" s="35"/>
      <c r="S34" s="25"/>
      <c r="T34" s="34"/>
      <c r="U34" s="35"/>
      <c r="V34" s="36"/>
    </row>
    <row r="35" spans="1:22" ht="38.25" x14ac:dyDescent="0.25">
      <c r="A35" s="23"/>
      <c r="B35" s="31" t="s">
        <v>53</v>
      </c>
      <c r="C35" s="25">
        <v>0</v>
      </c>
      <c r="D35" s="25"/>
      <c r="E35" s="17">
        <f t="shared" ref="E35" si="11">C35-D35</f>
        <v>0</v>
      </c>
      <c r="F35" s="25">
        <v>0</v>
      </c>
      <c r="G35" s="25"/>
      <c r="H35" s="17">
        <f t="shared" ref="H35" si="12">F35-G35</f>
        <v>0</v>
      </c>
      <c r="I35" s="25"/>
      <c r="J35" s="25"/>
      <c r="K35" s="17">
        <f t="shared" ref="K35" si="13">I35-J35</f>
        <v>0</v>
      </c>
      <c r="L35" s="18" t="e">
        <f t="shared" ref="L35:L53" si="14">K35/E35</f>
        <v>#DIV/0!</v>
      </c>
      <c r="M35" s="25"/>
      <c r="N35" s="25"/>
      <c r="O35" s="17">
        <f t="shared" ref="O35" si="15">M35-N35</f>
        <v>0</v>
      </c>
      <c r="P35" s="25"/>
      <c r="Q35" s="25"/>
      <c r="R35" s="17">
        <f t="shared" ref="R35" si="16">P35-Q35</f>
        <v>0</v>
      </c>
      <c r="S35" s="25"/>
      <c r="T35" s="25"/>
      <c r="U35" s="17">
        <f t="shared" ref="U35" si="17">S35-T35</f>
        <v>0</v>
      </c>
      <c r="V35" s="18" t="e">
        <f t="shared" ref="V35:V53" si="18">U35/E35</f>
        <v>#DIV/0!</v>
      </c>
    </row>
    <row r="36" spans="1:22" x14ac:dyDescent="0.25">
      <c r="A36" s="23" t="s">
        <v>54</v>
      </c>
      <c r="B36" s="24" t="s">
        <v>55</v>
      </c>
      <c r="C36" s="25">
        <v>2091.2244099999998</v>
      </c>
      <c r="D36" s="25">
        <v>870</v>
      </c>
      <c r="E36" s="17">
        <f t="shared" si="0"/>
        <v>1221.2244099999998</v>
      </c>
      <c r="F36" s="25"/>
      <c r="G36" s="25"/>
      <c r="H36" s="17">
        <f t="shared" si="1"/>
        <v>0</v>
      </c>
      <c r="I36" s="25">
        <v>564.5</v>
      </c>
      <c r="J36" s="25">
        <v>564.5</v>
      </c>
      <c r="K36" s="17">
        <f t="shared" si="2"/>
        <v>0</v>
      </c>
      <c r="L36" s="18">
        <f t="shared" si="14"/>
        <v>0</v>
      </c>
      <c r="M36" s="25">
        <f>-319.93704+47.26573</f>
        <v>-272.67131000000001</v>
      </c>
      <c r="N36" s="25">
        <v>564</v>
      </c>
      <c r="O36" s="17">
        <f t="shared" si="3"/>
        <v>-836.67130999999995</v>
      </c>
      <c r="P36" s="25"/>
      <c r="Q36" s="25"/>
      <c r="R36" s="17">
        <f t="shared" si="4"/>
        <v>0</v>
      </c>
      <c r="S36" s="25">
        <v>0</v>
      </c>
      <c r="T36" s="25"/>
      <c r="U36" s="17">
        <f t="shared" si="5"/>
        <v>0</v>
      </c>
      <c r="V36" s="18">
        <f t="shared" si="18"/>
        <v>0</v>
      </c>
    </row>
    <row r="37" spans="1:22" x14ac:dyDescent="0.25">
      <c r="A37" s="37" t="s">
        <v>56</v>
      </c>
      <c r="B37" s="15" t="s">
        <v>57</v>
      </c>
      <c r="C37" s="16">
        <f>C38+C47+C49+C48</f>
        <v>1789982.7373399998</v>
      </c>
      <c r="D37" s="16">
        <f>D38+D47+D49+D48</f>
        <v>1532125.9319899997</v>
      </c>
      <c r="E37" s="29">
        <f t="shared" si="0"/>
        <v>257856.80535000004</v>
      </c>
      <c r="F37" s="16">
        <f>F38+F47+F49+F48</f>
        <v>2195542.8676100001</v>
      </c>
      <c r="G37" s="16">
        <f>G38+G47+G49+G48</f>
        <v>1871812.6376099999</v>
      </c>
      <c r="H37" s="29">
        <f t="shared" si="1"/>
        <v>323730.23000000021</v>
      </c>
      <c r="I37" s="16">
        <f>I38+I47+I49+I48</f>
        <v>2358435.3587699998</v>
      </c>
      <c r="J37" s="16">
        <f>J38+J47+J49+J48</f>
        <v>2013429.7527700001</v>
      </c>
      <c r="K37" s="29">
        <f t="shared" si="2"/>
        <v>345005.60599999968</v>
      </c>
      <c r="L37" s="30">
        <f t="shared" si="14"/>
        <v>1.337973630487312</v>
      </c>
      <c r="M37" s="16">
        <f>M38+M47+M49+M48</f>
        <v>2298663.7610499999</v>
      </c>
      <c r="N37" s="16">
        <f>N38+N47+N49+N48</f>
        <v>1952682.7277000002</v>
      </c>
      <c r="O37" s="29">
        <f t="shared" si="3"/>
        <v>345981.03334999969</v>
      </c>
      <c r="P37" s="16">
        <f>P38+P47+P49+P48</f>
        <v>2065702.7926400001</v>
      </c>
      <c r="Q37" s="16">
        <f>Q38+Q47+Q49+Q48</f>
        <v>1741913.41864</v>
      </c>
      <c r="R37" s="29">
        <f t="shared" si="4"/>
        <v>323789.37400000007</v>
      </c>
      <c r="S37" s="16">
        <f>S38+S47+S49+S48</f>
        <v>43880.659910000002</v>
      </c>
      <c r="T37" s="16">
        <f>T38+T47+T49+T48</f>
        <v>43880.659910000002</v>
      </c>
      <c r="U37" s="29">
        <f t="shared" si="5"/>
        <v>0</v>
      </c>
      <c r="V37" s="30">
        <f t="shared" si="18"/>
        <v>0</v>
      </c>
    </row>
    <row r="38" spans="1:22" ht="26.25" x14ac:dyDescent="0.25">
      <c r="A38" s="23" t="s">
        <v>58</v>
      </c>
      <c r="B38" s="24" t="s">
        <v>59</v>
      </c>
      <c r="C38" s="38">
        <f>C39+C43+C45+C46</f>
        <v>1777812.51345</v>
      </c>
      <c r="D38" s="38">
        <f>D39+D43+D45+D46</f>
        <v>1519985.6034499998</v>
      </c>
      <c r="E38" s="17">
        <f t="shared" si="0"/>
        <v>257826.91000000015</v>
      </c>
      <c r="F38" s="38">
        <f>F39+F43+F45+F46</f>
        <v>2195542.8676100001</v>
      </c>
      <c r="G38" s="38">
        <f>G39+G43+G45+G46</f>
        <v>1871812.6376099999</v>
      </c>
      <c r="H38" s="17">
        <f t="shared" si="1"/>
        <v>323730.23000000021</v>
      </c>
      <c r="I38" s="38">
        <f>I39+I43+I45+I46</f>
        <v>2353980.23777</v>
      </c>
      <c r="J38" s="38">
        <f>J39+J43+J45+J46</f>
        <v>2008974.6317700001</v>
      </c>
      <c r="K38" s="17">
        <f t="shared" si="2"/>
        <v>345005.60599999991</v>
      </c>
      <c r="L38" s="18">
        <f t="shared" si="14"/>
        <v>1.3381287701892703</v>
      </c>
      <c r="M38" s="38">
        <f>M39+M43+M45+M46</f>
        <v>2294910.2725399998</v>
      </c>
      <c r="N38" s="38">
        <f>N39+N43+N45+N46</f>
        <v>1951104.6665400001</v>
      </c>
      <c r="O38" s="17">
        <f t="shared" si="3"/>
        <v>343805.60599999968</v>
      </c>
      <c r="P38" s="38">
        <f>P39+P43+P45+P46</f>
        <v>2065702.7926400001</v>
      </c>
      <c r="Q38" s="38">
        <f>Q39+Q43+Q45+Q46</f>
        <v>1741913.41864</v>
      </c>
      <c r="R38" s="17">
        <f t="shared" si="4"/>
        <v>323789.37400000007</v>
      </c>
      <c r="S38" s="38">
        <f>S39+S43+S45+S46</f>
        <v>49907.521000000001</v>
      </c>
      <c r="T38" s="38">
        <f>T39+T43+T45+T46</f>
        <v>49907.521000000001</v>
      </c>
      <c r="U38" s="17">
        <f t="shared" si="5"/>
        <v>0</v>
      </c>
      <c r="V38" s="18">
        <f t="shared" si="18"/>
        <v>0</v>
      </c>
    </row>
    <row r="39" spans="1:22" x14ac:dyDescent="0.25">
      <c r="A39" s="23" t="s">
        <v>18</v>
      </c>
      <c r="B39" s="24" t="s">
        <v>60</v>
      </c>
      <c r="C39" s="25">
        <f>C40+C41+C42</f>
        <v>257826.91000000003</v>
      </c>
      <c r="D39" s="39"/>
      <c r="E39" s="17">
        <f>C39-D39</f>
        <v>257826.91000000003</v>
      </c>
      <c r="F39" s="25">
        <f>F40+F41+F42</f>
        <v>323730.23</v>
      </c>
      <c r="G39" s="39"/>
      <c r="H39" s="17">
        <f>F39-G39</f>
        <v>323730.23</v>
      </c>
      <c r="I39" s="25">
        <f>I40+I41+I42</f>
        <v>343805.60599999997</v>
      </c>
      <c r="J39" s="39"/>
      <c r="K39" s="17">
        <f>I39-J39</f>
        <v>343805.60599999997</v>
      </c>
      <c r="L39" s="18">
        <f t="shared" si="14"/>
        <v>1.333474484878246</v>
      </c>
      <c r="M39" s="25">
        <f>M40+M41</f>
        <v>343805.60599999997</v>
      </c>
      <c r="N39" s="39"/>
      <c r="O39" s="17">
        <f>M39-N39</f>
        <v>343805.60599999997</v>
      </c>
      <c r="P39" s="25">
        <f>P40+P41+P42</f>
        <v>323789.37400000001</v>
      </c>
      <c r="Q39" s="39"/>
      <c r="R39" s="17">
        <f>P39-Q39</f>
        <v>323789.37400000001</v>
      </c>
      <c r="S39" s="25">
        <f>S40+S41</f>
        <v>0</v>
      </c>
      <c r="T39" s="39"/>
      <c r="U39" s="17">
        <f>S39-T39</f>
        <v>0</v>
      </c>
      <c r="V39" s="18">
        <f t="shared" si="18"/>
        <v>0</v>
      </c>
    </row>
    <row r="40" spans="1:22" x14ac:dyDescent="0.25">
      <c r="A40" s="23"/>
      <c r="B40" s="24" t="s">
        <v>61</v>
      </c>
      <c r="C40" s="25">
        <v>148854.54500000001</v>
      </c>
      <c r="D40" s="39"/>
      <c r="E40" s="17">
        <f>C40-D40</f>
        <v>148854.54500000001</v>
      </c>
      <c r="F40" s="25">
        <v>250993.54699999999</v>
      </c>
      <c r="G40" s="39"/>
      <c r="H40" s="17">
        <f t="shared" si="1"/>
        <v>250993.54699999999</v>
      </c>
      <c r="I40" s="25">
        <f>250993.547</f>
        <v>250993.54699999999</v>
      </c>
      <c r="J40" s="39"/>
      <c r="K40" s="17">
        <f t="shared" si="2"/>
        <v>250993.54699999999</v>
      </c>
      <c r="L40" s="18">
        <f t="shared" si="14"/>
        <v>1.6861664989805987</v>
      </c>
      <c r="M40" s="25">
        <v>250993.54699999999</v>
      </c>
      <c r="N40" s="39"/>
      <c r="O40" s="17">
        <f t="shared" si="3"/>
        <v>250993.54699999999</v>
      </c>
      <c r="P40" s="25">
        <v>255091.94899999999</v>
      </c>
      <c r="Q40" s="39"/>
      <c r="R40" s="17">
        <f t="shared" si="4"/>
        <v>255091.94899999999</v>
      </c>
      <c r="S40" s="25"/>
      <c r="T40" s="39"/>
      <c r="U40" s="17">
        <f t="shared" si="5"/>
        <v>0</v>
      </c>
      <c r="V40" s="18">
        <f t="shared" si="18"/>
        <v>0</v>
      </c>
    </row>
    <row r="41" spans="1:22" x14ac:dyDescent="0.25">
      <c r="A41" s="23"/>
      <c r="B41" s="24" t="s">
        <v>62</v>
      </c>
      <c r="C41" s="25">
        <v>108972.36500000001</v>
      </c>
      <c r="D41" s="39"/>
      <c r="E41" s="17">
        <f t="shared" si="0"/>
        <v>108972.36500000001</v>
      </c>
      <c r="F41" s="25">
        <v>72736.683000000005</v>
      </c>
      <c r="G41" s="39"/>
      <c r="H41" s="17">
        <f t="shared" si="1"/>
        <v>72736.683000000005</v>
      </c>
      <c r="I41" s="25">
        <v>92812.058999999994</v>
      </c>
      <c r="J41" s="39"/>
      <c r="K41" s="17">
        <f t="shared" si="2"/>
        <v>92812.058999999994</v>
      </c>
      <c r="L41" s="18">
        <f t="shared" si="14"/>
        <v>0.85170271380271489</v>
      </c>
      <c r="M41" s="25">
        <v>92812.058999999994</v>
      </c>
      <c r="N41" s="39"/>
      <c r="O41" s="17">
        <f t="shared" si="3"/>
        <v>92812.058999999994</v>
      </c>
      <c r="P41" s="25">
        <v>68697.425000000003</v>
      </c>
      <c r="Q41" s="39"/>
      <c r="R41" s="17">
        <f t="shared" si="4"/>
        <v>68697.425000000003</v>
      </c>
      <c r="S41" s="25"/>
      <c r="T41" s="39"/>
      <c r="U41" s="17">
        <f t="shared" si="5"/>
        <v>0</v>
      </c>
      <c r="V41" s="18">
        <f t="shared" si="18"/>
        <v>0</v>
      </c>
    </row>
    <row r="42" spans="1:22" x14ac:dyDescent="0.25">
      <c r="A42" s="23"/>
      <c r="B42" s="24" t="s">
        <v>63</v>
      </c>
      <c r="C42" s="25">
        <v>0</v>
      </c>
      <c r="D42" s="39"/>
      <c r="E42" s="17">
        <f t="shared" si="0"/>
        <v>0</v>
      </c>
      <c r="F42" s="25"/>
      <c r="G42" s="39"/>
      <c r="H42" s="17">
        <f t="shared" si="1"/>
        <v>0</v>
      </c>
      <c r="I42" s="25"/>
      <c r="J42" s="39"/>
      <c r="K42" s="17">
        <f t="shared" si="2"/>
        <v>0</v>
      </c>
      <c r="L42" s="18" t="e">
        <f t="shared" si="14"/>
        <v>#DIV/0!</v>
      </c>
      <c r="M42" s="25"/>
      <c r="N42" s="39"/>
      <c r="O42" s="17">
        <f t="shared" si="3"/>
        <v>0</v>
      </c>
      <c r="P42" s="25"/>
      <c r="Q42" s="39"/>
      <c r="R42" s="17">
        <f t="shared" si="4"/>
        <v>0</v>
      </c>
      <c r="S42" s="25"/>
      <c r="T42" s="39"/>
      <c r="U42" s="17">
        <f t="shared" si="5"/>
        <v>0</v>
      </c>
      <c r="V42" s="18" t="e">
        <f t="shared" si="18"/>
        <v>#DIV/0!</v>
      </c>
    </row>
    <row r="43" spans="1:22" x14ac:dyDescent="0.25">
      <c r="A43" s="23" t="s">
        <v>20</v>
      </c>
      <c r="B43" s="24" t="s">
        <v>64</v>
      </c>
      <c r="C43" s="25">
        <v>404101.34879999998</v>
      </c>
      <c r="D43" s="39">
        <f>C43</f>
        <v>404101.34879999998</v>
      </c>
      <c r="E43" s="17">
        <f t="shared" si="0"/>
        <v>0</v>
      </c>
      <c r="F43" s="25">
        <v>799179.27803000004</v>
      </c>
      <c r="G43" s="39">
        <f>F43</f>
        <v>799179.27803000004</v>
      </c>
      <c r="H43" s="17">
        <f>F43-G43</f>
        <v>0</v>
      </c>
      <c r="I43" s="25">
        <v>1055750.91402</v>
      </c>
      <c r="J43" s="39">
        <f>I43</f>
        <v>1055750.91402</v>
      </c>
      <c r="K43" s="17">
        <f t="shared" si="2"/>
        <v>0</v>
      </c>
      <c r="L43" s="18" t="e">
        <f t="shared" si="14"/>
        <v>#DIV/0!</v>
      </c>
      <c r="M43" s="25">
        <v>952529.61693999998</v>
      </c>
      <c r="N43" s="39">
        <f>M43</f>
        <v>952529.61693999998</v>
      </c>
      <c r="O43" s="17">
        <f t="shared" si="3"/>
        <v>0</v>
      </c>
      <c r="P43" s="25">
        <v>715284.01126000006</v>
      </c>
      <c r="Q43" s="39">
        <f>P43</f>
        <v>715284.01126000006</v>
      </c>
      <c r="R43" s="17">
        <f t="shared" si="4"/>
        <v>0</v>
      </c>
      <c r="S43" s="25">
        <v>26012</v>
      </c>
      <c r="T43" s="39">
        <f>S43</f>
        <v>26012</v>
      </c>
      <c r="U43" s="17">
        <f t="shared" si="5"/>
        <v>0</v>
      </c>
      <c r="V43" s="18" t="e">
        <f t="shared" si="18"/>
        <v>#DIV/0!</v>
      </c>
    </row>
    <row r="44" spans="1:22" x14ac:dyDescent="0.25">
      <c r="A44" s="23"/>
      <c r="B44" s="24" t="s">
        <v>65</v>
      </c>
      <c r="C44" s="25">
        <v>32572.852350000001</v>
      </c>
      <c r="D44" s="39">
        <f t="shared" ref="D44:D49" si="19">C44</f>
        <v>32572.852350000001</v>
      </c>
      <c r="E44" s="17">
        <f t="shared" si="0"/>
        <v>0</v>
      </c>
      <c r="F44" s="25">
        <v>401627.07714000001</v>
      </c>
      <c r="G44" s="39">
        <f t="shared" ref="G44:G49" si="20">F44</f>
        <v>401627.07714000001</v>
      </c>
      <c r="H44" s="17">
        <f t="shared" si="1"/>
        <v>0</v>
      </c>
      <c r="I44" s="25">
        <v>400318.2023</v>
      </c>
      <c r="J44" s="39">
        <f t="shared" ref="J44:J49" si="21">I44</f>
        <v>400318.2023</v>
      </c>
      <c r="K44" s="17">
        <f t="shared" si="2"/>
        <v>0</v>
      </c>
      <c r="L44" s="18" t="e">
        <f t="shared" si="14"/>
        <v>#DIV/0!</v>
      </c>
      <c r="M44" s="25">
        <v>354414.20629</v>
      </c>
      <c r="N44" s="39">
        <f>M44</f>
        <v>354414.20629</v>
      </c>
      <c r="O44" s="17">
        <f t="shared" si="3"/>
        <v>0</v>
      </c>
      <c r="P44" s="25">
        <v>319172.28665999998</v>
      </c>
      <c r="Q44" s="39">
        <f>P44</f>
        <v>319172.28665999998</v>
      </c>
      <c r="R44" s="17">
        <f t="shared" si="4"/>
        <v>0</v>
      </c>
      <c r="S44" s="25">
        <v>0</v>
      </c>
      <c r="T44" s="39">
        <f t="shared" ref="T44:T47" si="22">S44</f>
        <v>0</v>
      </c>
      <c r="U44" s="17">
        <f t="shared" si="5"/>
        <v>0</v>
      </c>
      <c r="V44" s="18" t="e">
        <f t="shared" si="18"/>
        <v>#DIV/0!</v>
      </c>
    </row>
    <row r="45" spans="1:22" x14ac:dyDescent="0.25">
      <c r="A45" s="23" t="s">
        <v>22</v>
      </c>
      <c r="B45" s="24" t="s">
        <v>66</v>
      </c>
      <c r="C45" s="25">
        <v>827959.98918999999</v>
      </c>
      <c r="D45" s="39">
        <f t="shared" si="19"/>
        <v>827959.98918999999</v>
      </c>
      <c r="E45" s="17">
        <f t="shared" si="0"/>
        <v>0</v>
      </c>
      <c r="F45" s="25">
        <v>878768.17168999999</v>
      </c>
      <c r="G45" s="39">
        <f t="shared" si="20"/>
        <v>878768.17168999999</v>
      </c>
      <c r="H45" s="17">
        <f t="shared" si="1"/>
        <v>0</v>
      </c>
      <c r="I45" s="25">
        <v>889495.48603000003</v>
      </c>
      <c r="J45" s="39">
        <f t="shared" si="21"/>
        <v>889495.48603000003</v>
      </c>
      <c r="K45" s="17">
        <f t="shared" si="2"/>
        <v>0</v>
      </c>
      <c r="L45" s="18" t="e">
        <f t="shared" si="14"/>
        <v>#DIV/0!</v>
      </c>
      <c r="M45" s="25">
        <v>940309.48539000005</v>
      </c>
      <c r="N45" s="39">
        <f t="shared" ref="N45" si="23">M45</f>
        <v>940309.48539000005</v>
      </c>
      <c r="O45" s="17">
        <f t="shared" si="3"/>
        <v>0</v>
      </c>
      <c r="P45" s="25">
        <v>988479.10737999994</v>
      </c>
      <c r="Q45" s="39">
        <f>P45</f>
        <v>988479.10737999994</v>
      </c>
      <c r="R45" s="17">
        <f t="shared" si="4"/>
        <v>0</v>
      </c>
      <c r="S45" s="25">
        <v>20780.521000000001</v>
      </c>
      <c r="T45" s="39">
        <f>S45</f>
        <v>20780.521000000001</v>
      </c>
      <c r="U45" s="17">
        <f t="shared" si="5"/>
        <v>0</v>
      </c>
      <c r="V45" s="18" t="e">
        <f t="shared" si="18"/>
        <v>#DIV/0!</v>
      </c>
    </row>
    <row r="46" spans="1:22" x14ac:dyDescent="0.25">
      <c r="A46" s="23" t="s">
        <v>28</v>
      </c>
      <c r="B46" s="24" t="s">
        <v>67</v>
      </c>
      <c r="C46" s="25">
        <v>287924.26546000002</v>
      </c>
      <c r="D46" s="39">
        <f t="shared" si="19"/>
        <v>287924.26546000002</v>
      </c>
      <c r="E46" s="17">
        <f t="shared" si="0"/>
        <v>0</v>
      </c>
      <c r="F46" s="25">
        <v>193865.18789</v>
      </c>
      <c r="G46" s="39">
        <f t="shared" si="20"/>
        <v>193865.18789</v>
      </c>
      <c r="H46" s="17">
        <f t="shared" si="1"/>
        <v>0</v>
      </c>
      <c r="I46" s="25">
        <v>64928.231720000003</v>
      </c>
      <c r="J46" s="39">
        <f>I46-1200</f>
        <v>63728.231720000003</v>
      </c>
      <c r="K46" s="17">
        <f t="shared" si="2"/>
        <v>1200</v>
      </c>
      <c r="L46" s="18" t="e">
        <f t="shared" si="14"/>
        <v>#DIV/0!</v>
      </c>
      <c r="M46" s="25">
        <v>58265.564209999997</v>
      </c>
      <c r="N46" s="39">
        <f>M46</f>
        <v>58265.564209999997</v>
      </c>
      <c r="O46" s="17">
        <f t="shared" si="3"/>
        <v>0</v>
      </c>
      <c r="P46" s="25">
        <v>38150.300000000003</v>
      </c>
      <c r="Q46" s="39">
        <f>P46</f>
        <v>38150.300000000003</v>
      </c>
      <c r="R46" s="17">
        <f t="shared" si="4"/>
        <v>0</v>
      </c>
      <c r="S46" s="25">
        <v>3115</v>
      </c>
      <c r="T46" s="39">
        <f t="shared" si="22"/>
        <v>3115</v>
      </c>
      <c r="U46" s="17">
        <f t="shared" si="5"/>
        <v>0</v>
      </c>
      <c r="V46" s="18" t="e">
        <f t="shared" si="18"/>
        <v>#DIV/0!</v>
      </c>
    </row>
    <row r="47" spans="1:22" x14ac:dyDescent="0.25">
      <c r="A47" s="23" t="s">
        <v>68</v>
      </c>
      <c r="B47" s="24" t="s">
        <v>69</v>
      </c>
      <c r="C47" s="25">
        <v>12485</v>
      </c>
      <c r="D47" s="39">
        <f t="shared" si="19"/>
        <v>12485</v>
      </c>
      <c r="E47" s="17">
        <f>C47-D47</f>
        <v>0</v>
      </c>
      <c r="F47" s="25">
        <v>0</v>
      </c>
      <c r="G47" s="39">
        <f t="shared" si="20"/>
        <v>0</v>
      </c>
      <c r="H47" s="17">
        <f t="shared" si="1"/>
        <v>0</v>
      </c>
      <c r="I47" s="25">
        <v>4455.1210000000001</v>
      </c>
      <c r="J47" s="39">
        <f t="shared" si="21"/>
        <v>4455.1210000000001</v>
      </c>
      <c r="K47" s="17">
        <f t="shared" si="2"/>
        <v>0</v>
      </c>
      <c r="L47" s="18" t="e">
        <f t="shared" si="14"/>
        <v>#DIV/0!</v>
      </c>
      <c r="M47" s="25">
        <v>4455.1210000000001</v>
      </c>
      <c r="N47" s="25">
        <f>M47</f>
        <v>4455.1210000000001</v>
      </c>
      <c r="O47" s="17">
        <f t="shared" si="3"/>
        <v>0</v>
      </c>
      <c r="P47" s="25">
        <v>0</v>
      </c>
      <c r="Q47" s="25">
        <v>0</v>
      </c>
      <c r="R47" s="17">
        <f t="shared" si="4"/>
        <v>0</v>
      </c>
      <c r="S47" s="25"/>
      <c r="T47" s="39">
        <f t="shared" si="22"/>
        <v>0</v>
      </c>
      <c r="U47" s="17">
        <f t="shared" si="5"/>
        <v>0</v>
      </c>
      <c r="V47" s="18" t="e">
        <f t="shared" si="18"/>
        <v>#DIV/0!</v>
      </c>
    </row>
    <row r="48" spans="1:22" ht="51.75" x14ac:dyDescent="0.25">
      <c r="A48" s="23" t="s">
        <v>70</v>
      </c>
      <c r="B48" s="24" t="s">
        <v>71</v>
      </c>
      <c r="C48" s="25">
        <v>29.895350000000001</v>
      </c>
      <c r="D48" s="39">
        <v>0</v>
      </c>
      <c r="E48" s="17">
        <f>C48-D48</f>
        <v>29.895350000000001</v>
      </c>
      <c r="F48" s="25">
        <v>0</v>
      </c>
      <c r="G48" s="39">
        <f t="shared" si="20"/>
        <v>0</v>
      </c>
      <c r="H48" s="17">
        <f t="shared" si="1"/>
        <v>0</v>
      </c>
      <c r="I48" s="25"/>
      <c r="J48" s="39"/>
      <c r="K48" s="17">
        <f t="shared" si="2"/>
        <v>0</v>
      </c>
      <c r="L48" s="18">
        <f t="shared" si="14"/>
        <v>0</v>
      </c>
      <c r="M48" s="25">
        <f>4133.52635+2516.74249</f>
        <v>6650.2688400000006</v>
      </c>
      <c r="N48" s="25">
        <f>4474.84149</f>
        <v>4474.8414899999998</v>
      </c>
      <c r="O48" s="17">
        <f t="shared" si="3"/>
        <v>2175.4273500000008</v>
      </c>
      <c r="P48" s="25"/>
      <c r="Q48" s="25"/>
      <c r="R48" s="17">
        <f t="shared" si="4"/>
        <v>0</v>
      </c>
      <c r="S48" s="25"/>
      <c r="T48" s="39"/>
      <c r="U48" s="17">
        <f t="shared" si="5"/>
        <v>0</v>
      </c>
      <c r="V48" s="18">
        <f t="shared" si="18"/>
        <v>0</v>
      </c>
    </row>
    <row r="49" spans="1:22" ht="39" x14ac:dyDescent="0.25">
      <c r="A49" s="23" t="s">
        <v>72</v>
      </c>
      <c r="B49" s="24" t="s">
        <v>73</v>
      </c>
      <c r="C49" s="25">
        <v>-344.67146000000002</v>
      </c>
      <c r="D49" s="39">
        <f t="shared" si="19"/>
        <v>-344.67146000000002</v>
      </c>
      <c r="E49" s="17">
        <f t="shared" si="0"/>
        <v>0</v>
      </c>
      <c r="F49" s="25">
        <v>0</v>
      </c>
      <c r="G49" s="39">
        <f t="shared" si="20"/>
        <v>0</v>
      </c>
      <c r="H49" s="17">
        <f>F49-G49</f>
        <v>0</v>
      </c>
      <c r="I49" s="25"/>
      <c r="J49" s="39">
        <f t="shared" si="21"/>
        <v>0</v>
      </c>
      <c r="K49" s="17">
        <f t="shared" si="2"/>
        <v>0</v>
      </c>
      <c r="L49" s="18" t="e">
        <f t="shared" si="14"/>
        <v>#DIV/0!</v>
      </c>
      <c r="M49" s="25">
        <f>-7351.90133</f>
        <v>-7351.9013299999997</v>
      </c>
      <c r="N49" s="25">
        <f>-7351.90133</f>
        <v>-7351.9013299999997</v>
      </c>
      <c r="O49" s="17">
        <f t="shared" si="3"/>
        <v>0</v>
      </c>
      <c r="P49" s="25"/>
      <c r="Q49" s="25"/>
      <c r="R49" s="17">
        <f t="shared" si="4"/>
        <v>0</v>
      </c>
      <c r="S49" s="25">
        <v>-6026.8610900000003</v>
      </c>
      <c r="T49" s="39">
        <f>S49</f>
        <v>-6026.8610900000003</v>
      </c>
      <c r="U49" s="17">
        <f t="shared" si="5"/>
        <v>0</v>
      </c>
      <c r="V49" s="18" t="e">
        <f t="shared" si="18"/>
        <v>#DIV/0!</v>
      </c>
    </row>
    <row r="50" spans="1:22" x14ac:dyDescent="0.25">
      <c r="A50" s="40"/>
      <c r="B50" s="41" t="s">
        <v>74</v>
      </c>
      <c r="C50" s="17">
        <f>C6</f>
        <v>2654747.9537499999</v>
      </c>
      <c r="D50" s="17">
        <f>D6</f>
        <v>1533077.9284899996</v>
      </c>
      <c r="E50" s="17">
        <f>E6</f>
        <v>1121670.0252600003</v>
      </c>
      <c r="F50" s="17">
        <f>F6</f>
        <v>3067542.8476100001</v>
      </c>
      <c r="G50" s="17">
        <f t="shared" ref="G50:H50" si="24">G6</f>
        <v>1871812.6376099999</v>
      </c>
      <c r="H50" s="17">
        <f t="shared" si="24"/>
        <v>1195730.2100000002</v>
      </c>
      <c r="I50" s="17">
        <f>I6</f>
        <v>3378349.2861500001</v>
      </c>
      <c r="J50" s="17">
        <f t="shared" ref="J50:K50" si="25">J6</f>
        <v>2014790.3273800001</v>
      </c>
      <c r="K50" s="17">
        <f t="shared" si="25"/>
        <v>1363558.9587699999</v>
      </c>
      <c r="L50" s="18">
        <f t="shared" si="14"/>
        <v>1.215650706591656</v>
      </c>
      <c r="M50" s="17">
        <f>M6</f>
        <v>3373105.6049599997</v>
      </c>
      <c r="N50" s="17">
        <f t="shared" ref="N50:O50" si="26">N6</f>
        <v>1954556.6343900003</v>
      </c>
      <c r="O50" s="17">
        <f t="shared" si="26"/>
        <v>1418548.9705699994</v>
      </c>
      <c r="P50" s="17">
        <f>P6</f>
        <v>3048860.58164</v>
      </c>
      <c r="Q50" s="17">
        <f t="shared" ref="Q50:R50" si="27">Q6</f>
        <v>1741913.41864</v>
      </c>
      <c r="R50" s="17">
        <f t="shared" si="27"/>
        <v>1306947.1629999999</v>
      </c>
      <c r="S50" s="17">
        <f>S6</f>
        <v>79381.251909999992</v>
      </c>
      <c r="T50" s="17">
        <f t="shared" ref="T50:U50" si="28">T6</f>
        <v>43916.395700000001</v>
      </c>
      <c r="U50" s="17">
        <f t="shared" si="28"/>
        <v>35464.856209999991</v>
      </c>
      <c r="V50" s="18">
        <f t="shared" si="18"/>
        <v>3.1617904919746184E-2</v>
      </c>
    </row>
    <row r="51" spans="1:22" x14ac:dyDescent="0.25">
      <c r="A51" s="42" t="s">
        <v>75</v>
      </c>
      <c r="B51" s="43" t="s">
        <v>76</v>
      </c>
      <c r="C51" s="44">
        <f>C52+C87</f>
        <v>2657311.2422799999</v>
      </c>
      <c r="D51" s="44">
        <f>D52+D87</f>
        <v>1530265.3523300001</v>
      </c>
      <c r="E51" s="45">
        <f>C51-D51</f>
        <v>1127045.8899499997</v>
      </c>
      <c r="F51" s="44">
        <f>F52+F87</f>
        <v>3154742.84767</v>
      </c>
      <c r="G51" s="44">
        <f>G52+G87</f>
        <v>1871812.6376100001</v>
      </c>
      <c r="H51" s="45">
        <f>F51-G51</f>
        <v>1282930.21006</v>
      </c>
      <c r="I51" s="44">
        <f>I52+I87</f>
        <v>3531328.2773699998</v>
      </c>
      <c r="J51" s="44">
        <f>J52+J87</f>
        <v>2090601.0038900003</v>
      </c>
      <c r="K51" s="45">
        <f>I51-J51</f>
        <v>1440727.2734799995</v>
      </c>
      <c r="L51" s="46">
        <f t="shared" si="14"/>
        <v>1.2783217492092678</v>
      </c>
      <c r="M51" s="44">
        <f>M52+M87</f>
        <v>3333718.34002</v>
      </c>
      <c r="N51" s="44">
        <f>N52+N87</f>
        <v>1951982.21104</v>
      </c>
      <c r="O51" s="45">
        <f>M51-N51</f>
        <v>1381736.12898</v>
      </c>
      <c r="P51" s="44">
        <f>P52+P87</f>
        <v>3147176.2886099997</v>
      </c>
      <c r="Q51" s="44">
        <f>Q52+Q87</f>
        <v>1741913.7386700001</v>
      </c>
      <c r="R51" s="45">
        <f>P51-Q51</f>
        <v>1405262.5499399996</v>
      </c>
      <c r="S51" s="44">
        <f>S52+S87</f>
        <v>45097.743999999999</v>
      </c>
      <c r="T51" s="44">
        <f>T52+T87</f>
        <v>32450.9</v>
      </c>
      <c r="U51" s="45">
        <f>S51-T51</f>
        <v>12646.843999999997</v>
      </c>
      <c r="V51" s="46">
        <f t="shared" si="18"/>
        <v>1.1221232527240804E-2</v>
      </c>
    </row>
    <row r="52" spans="1:22" x14ac:dyDescent="0.25">
      <c r="A52" s="47">
        <v>1</v>
      </c>
      <c r="B52" s="48" t="s">
        <v>77</v>
      </c>
      <c r="C52" s="49">
        <f>C53+C57+C62+C63+C64+C65+C79+C80</f>
        <v>2417729.07228</v>
      </c>
      <c r="D52" s="49">
        <f>D53+D57+D62+D63+D64+D65+D79+D80</f>
        <v>1457994.2102000001</v>
      </c>
      <c r="E52" s="38">
        <f>C52-D52</f>
        <v>959734.86207999988</v>
      </c>
      <c r="F52" s="49">
        <f>F53+F57+F62+F63+F64+F65+F79+F80</f>
        <v>2874912.0382300001</v>
      </c>
      <c r="G52" s="49">
        <f>G53+G57+G62+G63+G64+G65+G79+G80</f>
        <v>1813138.09317</v>
      </c>
      <c r="H52" s="38">
        <f>F52-G52</f>
        <v>1061773.9450600001</v>
      </c>
      <c r="I52" s="49">
        <f>I53+I57+I62+I63+I64+I65+I79+I80</f>
        <v>3045282.80002</v>
      </c>
      <c r="J52" s="49">
        <f>J53+J57+J62+J63+J64+J65+J79+J80</f>
        <v>1841663.2889200002</v>
      </c>
      <c r="K52" s="38">
        <f>I52-J52</f>
        <v>1203619.5110999998</v>
      </c>
      <c r="L52" s="50">
        <f t="shared" si="14"/>
        <v>1.2541166926993119</v>
      </c>
      <c r="M52" s="49">
        <f>M53+M57+M62+M63+M64+M65+M79+M80</f>
        <v>2880293.5353399999</v>
      </c>
      <c r="N52" s="49">
        <f>N53+N57+N62+N63+N64+N65+N79+N80</f>
        <v>1725503.4989799999</v>
      </c>
      <c r="O52" s="38">
        <f>M52-N52</f>
        <v>1154790.03636</v>
      </c>
      <c r="P52" s="49">
        <f>P53+P57+P62+P63+P64+P65+P79+P80</f>
        <v>2888020.9719399996</v>
      </c>
      <c r="Q52" s="49">
        <f>Q53+Q57+Q62+Q63+Q64+Q65+Q79+Q80</f>
        <v>1689809.2719700001</v>
      </c>
      <c r="R52" s="38">
        <f>P52-Q52</f>
        <v>1198211.6999699995</v>
      </c>
      <c r="S52" s="49">
        <f>S53+S57+S62+S63+S64+S65+S79+S80</f>
        <v>43133.544000000002</v>
      </c>
      <c r="T52" s="49">
        <f>T53+T57+T62+T63+T64+T65+T79+T80</f>
        <v>32450.9</v>
      </c>
      <c r="U52" s="38">
        <f>S52-T52</f>
        <v>10682.644</v>
      </c>
      <c r="V52" s="50">
        <f t="shared" si="18"/>
        <v>1.113082833820153E-2</v>
      </c>
    </row>
    <row r="53" spans="1:22" ht="38.25" x14ac:dyDescent="0.25">
      <c r="A53" s="51" t="s">
        <v>13</v>
      </c>
      <c r="B53" s="31" t="s">
        <v>78</v>
      </c>
      <c r="C53" s="25">
        <v>131722.94954999999</v>
      </c>
      <c r="D53" s="25">
        <v>11002.301009999999</v>
      </c>
      <c r="E53" s="38">
        <f t="shared" si="0"/>
        <v>120720.64853999999</v>
      </c>
      <c r="F53" s="25">
        <v>150242.31700000001</v>
      </c>
      <c r="G53" s="25">
        <v>13944.517</v>
      </c>
      <c r="H53" s="38">
        <f t="shared" ref="H53:H105" si="29">F53-G53</f>
        <v>136297.80000000002</v>
      </c>
      <c r="I53" s="25">
        <f>I55+I56+2316.3983+1720.8104</f>
        <v>168374.93416999999</v>
      </c>
      <c r="J53" s="25">
        <f>J55+J56+242.27337</f>
        <v>15312.777930000002</v>
      </c>
      <c r="K53" s="38">
        <f t="shared" ref="K53:K105" si="30">I53-J53</f>
        <v>153062.15623999998</v>
      </c>
      <c r="L53" s="50">
        <f t="shared" si="14"/>
        <v>1.267903694116453</v>
      </c>
      <c r="M53" s="25">
        <f>M55+M56+2015.13421+1245.95439</f>
        <v>163217.72047999999</v>
      </c>
      <c r="N53" s="25">
        <f>N55+N56+242.27337</f>
        <v>15312.777920000002</v>
      </c>
      <c r="O53" s="38">
        <f t="shared" ref="O53:O105" si="31">M53-N53</f>
        <v>147904.94256</v>
      </c>
      <c r="P53" s="25">
        <f>P55+P56+3031.8</f>
        <v>174701.7977</v>
      </c>
      <c r="Q53" s="25">
        <f>Q55+Q56+354</f>
        <v>16365.697700000001</v>
      </c>
      <c r="R53" s="38">
        <f t="shared" ref="R53:R105" si="32">P53-Q53</f>
        <v>158336.1</v>
      </c>
      <c r="S53" s="25">
        <f>S55+S56</f>
        <v>4785.83</v>
      </c>
      <c r="T53" s="25">
        <f>T55+T56</f>
        <v>440.6</v>
      </c>
      <c r="U53" s="38">
        <f t="shared" ref="U53:U105" si="33">S53-T53</f>
        <v>4345.2299999999996</v>
      </c>
      <c r="V53" s="50">
        <f t="shared" si="18"/>
        <v>3.5994090924389259E-2</v>
      </c>
    </row>
    <row r="54" spans="1:22" x14ac:dyDescent="0.25">
      <c r="A54" s="51"/>
      <c r="B54" s="31" t="s">
        <v>17</v>
      </c>
      <c r="C54" s="25"/>
      <c r="D54" s="25"/>
      <c r="E54" s="38"/>
      <c r="F54" s="25"/>
      <c r="G54" s="25"/>
      <c r="H54" s="38"/>
      <c r="I54" s="25"/>
      <c r="J54" s="25"/>
      <c r="K54" s="38"/>
      <c r="L54" s="50"/>
      <c r="M54" s="25"/>
      <c r="N54" s="25"/>
      <c r="O54" s="38"/>
      <c r="P54" s="25"/>
      <c r="Q54" s="25"/>
      <c r="R54" s="38"/>
      <c r="S54" s="25"/>
      <c r="T54" s="25"/>
      <c r="U54" s="38"/>
      <c r="V54" s="50"/>
    </row>
    <row r="55" spans="1:22" ht="25.5" x14ac:dyDescent="0.25">
      <c r="A55" s="51"/>
      <c r="B55" s="31" t="s">
        <v>79</v>
      </c>
      <c r="C55" s="25">
        <v>101477.35416</v>
      </c>
      <c r="D55" s="25">
        <v>8305.4064099999996</v>
      </c>
      <c r="E55" s="38">
        <f t="shared" si="0"/>
        <v>93171.947750000007</v>
      </c>
      <c r="F55" s="25">
        <v>112990.17616</v>
      </c>
      <c r="G55" s="25">
        <v>10488.721159999999</v>
      </c>
      <c r="H55" s="38">
        <f t="shared" si="29"/>
        <v>102501.455</v>
      </c>
      <c r="I55" s="25">
        <v>126889.03972</v>
      </c>
      <c r="J55" s="25">
        <v>11599.00625</v>
      </c>
      <c r="K55" s="38">
        <f t="shared" si="30"/>
        <v>115290.03346999999</v>
      </c>
      <c r="L55" s="50">
        <f>K55/E55</f>
        <v>1.2373899682697145</v>
      </c>
      <c r="M55" s="25">
        <v>124762.26432</v>
      </c>
      <c r="N55" s="25">
        <v>11599.00625</v>
      </c>
      <c r="O55" s="38">
        <f t="shared" si="31"/>
        <v>113163.25807</v>
      </c>
      <c r="P55" s="25">
        <f>131854.03218</f>
        <v>131854.03218000001</v>
      </c>
      <c r="Q55" s="25">
        <f>12300.70918</f>
        <v>12300.70918</v>
      </c>
      <c r="R55" s="38">
        <f t="shared" si="32"/>
        <v>119553.323</v>
      </c>
      <c r="S55" s="25">
        <v>4470.63</v>
      </c>
      <c r="T55" s="25">
        <v>415.6</v>
      </c>
      <c r="U55" s="38">
        <f t="shared" si="33"/>
        <v>4055.03</v>
      </c>
      <c r="V55" s="50">
        <f>U55/E55</f>
        <v>4.3522005259356615E-2</v>
      </c>
    </row>
    <row r="56" spans="1:22" ht="25.5" x14ac:dyDescent="0.25">
      <c r="A56" s="51"/>
      <c r="B56" s="31" t="s">
        <v>80</v>
      </c>
      <c r="C56" s="25">
        <v>28898.586780000001</v>
      </c>
      <c r="D56" s="25">
        <v>2482.6888199999999</v>
      </c>
      <c r="E56" s="38">
        <f t="shared" si="0"/>
        <v>26415.897960000002</v>
      </c>
      <c r="F56" s="25">
        <v>33470.955840000002</v>
      </c>
      <c r="G56" s="25">
        <v>2809.41084</v>
      </c>
      <c r="H56" s="38">
        <f t="shared" si="29"/>
        <v>30661.545000000002</v>
      </c>
      <c r="I56" s="25">
        <v>37448.685749999997</v>
      </c>
      <c r="J56" s="25">
        <v>3471.4983099999999</v>
      </c>
      <c r="K56" s="38">
        <f t="shared" si="30"/>
        <v>33977.187439999994</v>
      </c>
      <c r="L56" s="50">
        <f>K56/E56</f>
        <v>1.2862401078111976</v>
      </c>
      <c r="M56" s="25">
        <v>35194.367559999999</v>
      </c>
      <c r="N56" s="25">
        <v>3471.4983000000002</v>
      </c>
      <c r="O56" s="38">
        <f t="shared" si="31"/>
        <v>31722.869259999999</v>
      </c>
      <c r="P56" s="25">
        <v>39815.965519999998</v>
      </c>
      <c r="Q56" s="25">
        <v>3710.9885199999999</v>
      </c>
      <c r="R56" s="38">
        <f t="shared" si="32"/>
        <v>36104.976999999999</v>
      </c>
      <c r="S56" s="25">
        <v>315.2</v>
      </c>
      <c r="T56" s="25">
        <v>25</v>
      </c>
      <c r="U56" s="38">
        <f t="shared" si="33"/>
        <v>290.2</v>
      </c>
      <c r="V56" s="50">
        <f>U56/E56</f>
        <v>1.0985808638397692E-2</v>
      </c>
    </row>
    <row r="57" spans="1:22" ht="25.5" x14ac:dyDescent="0.25">
      <c r="A57" s="51" t="s">
        <v>56</v>
      </c>
      <c r="B57" s="31" t="s">
        <v>81</v>
      </c>
      <c r="C57" s="25">
        <f>93408.84994</f>
        <v>93408.84994</v>
      </c>
      <c r="D57" s="52">
        <v>18804.48517</v>
      </c>
      <c r="E57" s="38">
        <f t="shared" si="0"/>
        <v>74604.36477</v>
      </c>
      <c r="F57" s="25">
        <v>137075.75669000001</v>
      </c>
      <c r="G57" s="52">
        <v>27439.80169</v>
      </c>
      <c r="H57" s="38">
        <f t="shared" si="29"/>
        <v>109635.95500000002</v>
      </c>
      <c r="I57" s="25">
        <f>596641.03203-I92</f>
        <v>207457.78036000003</v>
      </c>
      <c r="J57" s="52">
        <f>322268.97341-J92</f>
        <v>73331.258439999976</v>
      </c>
      <c r="K57" s="38">
        <f t="shared" si="30"/>
        <v>134126.52192000006</v>
      </c>
      <c r="L57" s="50">
        <f>K57/E57</f>
        <v>1.7978374634447016</v>
      </c>
      <c r="M57" s="25">
        <f>497365.0625-M92</f>
        <v>138466.63633000001</v>
      </c>
      <c r="N57" s="52">
        <f>259105.58304-N92</f>
        <v>32626.870980000007</v>
      </c>
      <c r="O57" s="38">
        <f t="shared" si="31"/>
        <v>105839.76535</v>
      </c>
      <c r="P57" s="25">
        <v>107540.02428</v>
      </c>
      <c r="Q57" s="25">
        <v>8388.9742800000004</v>
      </c>
      <c r="R57" s="38">
        <f t="shared" si="32"/>
        <v>99151.05</v>
      </c>
      <c r="S57" s="25">
        <v>3115</v>
      </c>
      <c r="T57" s="25">
        <v>70</v>
      </c>
      <c r="U57" s="38">
        <f t="shared" si="33"/>
        <v>3045</v>
      </c>
      <c r="V57" s="50">
        <f>U57/E57</f>
        <v>4.0815306307982385E-2</v>
      </c>
    </row>
    <row r="58" spans="1:22" x14ac:dyDescent="0.25">
      <c r="A58" s="53"/>
      <c r="B58" s="54" t="s">
        <v>7</v>
      </c>
      <c r="C58" s="34"/>
      <c r="D58" s="55"/>
      <c r="E58" s="56"/>
      <c r="F58" s="34"/>
      <c r="G58" s="55"/>
      <c r="H58" s="56"/>
      <c r="I58" s="34"/>
      <c r="J58" s="55"/>
      <c r="K58" s="56"/>
      <c r="L58" s="57"/>
      <c r="M58" s="34"/>
      <c r="N58" s="55"/>
      <c r="O58" s="56"/>
      <c r="P58" s="25"/>
      <c r="Q58" s="25"/>
      <c r="R58" s="56"/>
      <c r="S58" s="25"/>
      <c r="T58" s="25"/>
      <c r="U58" s="56"/>
      <c r="V58" s="57"/>
    </row>
    <row r="59" spans="1:22" ht="25.5" x14ac:dyDescent="0.25">
      <c r="A59" s="23"/>
      <c r="B59" s="31" t="s">
        <v>82</v>
      </c>
      <c r="C59" s="25">
        <f>28548.35828+0+0+0+0+3688.02875</f>
        <v>32236.387030000002</v>
      </c>
      <c r="D59" s="58">
        <f>0+475.22928</f>
        <v>475.22928000000002</v>
      </c>
      <c r="E59" s="38">
        <f t="shared" si="0"/>
        <v>31761.157750000002</v>
      </c>
      <c r="F59" s="25">
        <v>31610.960950000001</v>
      </c>
      <c r="G59" s="58">
        <v>622.68271000000004</v>
      </c>
      <c r="H59" s="38">
        <f t="shared" ref="H59:H61" si="34">F59-G59</f>
        <v>30988.27824</v>
      </c>
      <c r="I59" s="25">
        <f>25634+4053.11417</f>
        <v>29687.114170000001</v>
      </c>
      <c r="J59" s="58">
        <f>0+649.33518</f>
        <v>649.33518000000004</v>
      </c>
      <c r="K59" s="38">
        <f t="shared" ref="K59:K61" si="35">I59-J59</f>
        <v>29037.778989999999</v>
      </c>
      <c r="L59" s="50">
        <f t="shared" ref="L59:L67" si="36">K59/E59</f>
        <v>0.91425442417948377</v>
      </c>
      <c r="M59" s="25">
        <f>25028.01733+2330.82446</f>
        <v>27358.841789999999</v>
      </c>
      <c r="N59" s="58">
        <f>585.20132</f>
        <v>585.20132000000001</v>
      </c>
      <c r="O59" s="38">
        <f t="shared" ref="O59:O61" si="37">M59-N59</f>
        <v>26773.640469999998</v>
      </c>
      <c r="P59" s="25">
        <f>28249.706+197.445</f>
        <v>28447.150999999998</v>
      </c>
      <c r="Q59" s="25">
        <f>0+197.445</f>
        <v>197.44499999999999</v>
      </c>
      <c r="R59" s="38">
        <f t="shared" ref="R59:R61" si="38">P59-Q59</f>
        <v>28249.705999999998</v>
      </c>
      <c r="S59" s="25">
        <v>2712.3</v>
      </c>
      <c r="T59" s="25">
        <v>45</v>
      </c>
      <c r="U59" s="38">
        <f t="shared" ref="U59:U61" si="39">S59-T59</f>
        <v>2667.3</v>
      </c>
      <c r="V59" s="50">
        <f t="shared" ref="V59:V67" si="40">U59/E59</f>
        <v>8.3979936153303486E-2</v>
      </c>
    </row>
    <row r="60" spans="1:22" ht="25.5" x14ac:dyDescent="0.25">
      <c r="A60" s="23"/>
      <c r="B60" s="31" t="s">
        <v>83</v>
      </c>
      <c r="C60" s="25">
        <f>33324.62719+0+0+1.6+0+12264.33058</f>
        <v>45590.557769999999</v>
      </c>
      <c r="D60" s="58">
        <f>5770.7948</f>
        <v>5770.7947999999997</v>
      </c>
      <c r="E60" s="38">
        <f t="shared" si="0"/>
        <v>39819.762969999996</v>
      </c>
      <c r="F60" s="25">
        <v>184166.4903</v>
      </c>
      <c r="G60" s="58">
        <v>86</v>
      </c>
      <c r="H60" s="38">
        <f t="shared" si="34"/>
        <v>184080.4903</v>
      </c>
      <c r="I60" s="25">
        <f>63800+2892.47411</f>
        <v>66692.474109999996</v>
      </c>
      <c r="J60" s="58">
        <f>13886+99.49392</f>
        <v>13985.493920000001</v>
      </c>
      <c r="K60" s="38">
        <f t="shared" si="35"/>
        <v>52706.980189999995</v>
      </c>
      <c r="L60" s="50">
        <f t="shared" si="36"/>
        <v>1.3236387225536517</v>
      </c>
      <c r="M60" s="25">
        <f>43043.9664+1618.47411</f>
        <v>44662.44051</v>
      </c>
      <c r="N60" s="58">
        <f>99.49392+5016</f>
        <v>5115.4939199999999</v>
      </c>
      <c r="O60" s="38">
        <f t="shared" si="37"/>
        <v>39546.94659</v>
      </c>
      <c r="P60" s="25">
        <f>42611.993+10029.781</f>
        <v>52641.774000000005</v>
      </c>
      <c r="Q60" s="25">
        <f>5343.3</f>
        <v>5343.3</v>
      </c>
      <c r="R60" s="38">
        <f t="shared" si="38"/>
        <v>47298.474000000002</v>
      </c>
      <c r="S60" s="25">
        <v>412</v>
      </c>
      <c r="T60" s="25">
        <v>25</v>
      </c>
      <c r="U60" s="38">
        <f t="shared" si="39"/>
        <v>387</v>
      </c>
      <c r="V60" s="50">
        <f t="shared" si="40"/>
        <v>9.7187921558338705E-3</v>
      </c>
    </row>
    <row r="61" spans="1:22" ht="25.5" x14ac:dyDescent="0.25">
      <c r="A61" s="23"/>
      <c r="B61" s="31" t="s">
        <v>84</v>
      </c>
      <c r="C61" s="25">
        <f>0+0+0+0+1.3+2951.77397</f>
        <v>2953.0739700000004</v>
      </c>
      <c r="D61" s="58">
        <f>1629.9</f>
        <v>1629.9</v>
      </c>
      <c r="E61" s="38">
        <f t="shared" si="0"/>
        <v>1323.1739700000003</v>
      </c>
      <c r="F61" s="25">
        <v>750</v>
      </c>
      <c r="G61" s="58"/>
      <c r="H61" s="38">
        <f t="shared" si="34"/>
        <v>750</v>
      </c>
      <c r="I61" s="25">
        <f>64532+1858.08809</f>
        <v>66390.088090000005</v>
      </c>
      <c r="J61" s="58">
        <f>22432+1492.80575</f>
        <v>23924.80575</v>
      </c>
      <c r="K61" s="38">
        <f t="shared" si="35"/>
        <v>42465.282340000005</v>
      </c>
      <c r="L61" s="50">
        <f t="shared" si="36"/>
        <v>32.093498891910635</v>
      </c>
      <c r="M61" s="25">
        <f>40854.61667+1858.08809</f>
        <v>42712.704760000001</v>
      </c>
      <c r="N61" s="58">
        <f>1492.80575+18924</f>
        <v>20416.80575</v>
      </c>
      <c r="O61" s="38">
        <f t="shared" si="37"/>
        <v>22295.899010000001</v>
      </c>
      <c r="P61" s="25">
        <f>0+838.1</f>
        <v>838.1</v>
      </c>
      <c r="Q61" s="25">
        <f>0+238.1</f>
        <v>238.1</v>
      </c>
      <c r="R61" s="38">
        <f t="shared" si="38"/>
        <v>600</v>
      </c>
      <c r="S61" s="25">
        <v>0</v>
      </c>
      <c r="T61" s="25"/>
      <c r="U61" s="38">
        <f t="shared" si="39"/>
        <v>0</v>
      </c>
      <c r="V61" s="50">
        <f t="shared" si="40"/>
        <v>0</v>
      </c>
    </row>
    <row r="62" spans="1:22" ht="25.5" x14ac:dyDescent="0.25">
      <c r="A62" s="51" t="s">
        <v>85</v>
      </c>
      <c r="B62" s="31" t="s">
        <v>86</v>
      </c>
      <c r="C62" s="25">
        <v>55544.957950000004</v>
      </c>
      <c r="D62" s="52">
        <v>39676.815519999996</v>
      </c>
      <c r="E62" s="38">
        <f t="shared" si="0"/>
        <v>15868.142430000007</v>
      </c>
      <c r="F62" s="25">
        <v>54429.68</v>
      </c>
      <c r="G62" s="52">
        <v>49121.8</v>
      </c>
      <c r="H62" s="38">
        <f t="shared" si="29"/>
        <v>5307.8799999999974</v>
      </c>
      <c r="I62" s="25">
        <f>59301.18588-I97</f>
        <v>58290.143049999999</v>
      </c>
      <c r="J62" s="52">
        <v>50943.9</v>
      </c>
      <c r="K62" s="38">
        <f t="shared" si="30"/>
        <v>7346.2430499999973</v>
      </c>
      <c r="L62" s="50">
        <f t="shared" si="36"/>
        <v>0.46295545193187393</v>
      </c>
      <c r="M62" s="25">
        <f>55147.44993-M97</f>
        <v>54150.395000000004</v>
      </c>
      <c r="N62" s="52">
        <v>47239.479229999997</v>
      </c>
      <c r="O62" s="38">
        <f t="shared" si="31"/>
        <v>6910.9157700000069</v>
      </c>
      <c r="P62" s="25">
        <v>72637.649999999994</v>
      </c>
      <c r="Q62" s="52">
        <v>66711.899999999994</v>
      </c>
      <c r="R62" s="38">
        <f t="shared" si="32"/>
        <v>5925.75</v>
      </c>
      <c r="S62" s="25">
        <v>4112.5</v>
      </c>
      <c r="T62" s="25">
        <v>4025.3</v>
      </c>
      <c r="U62" s="38">
        <f t="shared" si="33"/>
        <v>87.199999999999818</v>
      </c>
      <c r="V62" s="50">
        <f t="shared" si="40"/>
        <v>5.4952872010488865E-3</v>
      </c>
    </row>
    <row r="63" spans="1:22" ht="25.5" x14ac:dyDescent="0.25">
      <c r="A63" s="51" t="s">
        <v>87</v>
      </c>
      <c r="B63" s="31" t="s">
        <v>88</v>
      </c>
      <c r="C63" s="25">
        <v>135254.45000000001</v>
      </c>
      <c r="D63" s="58">
        <v>132942.08934999999</v>
      </c>
      <c r="E63" s="38">
        <f t="shared" si="0"/>
        <v>2312.3606500000169</v>
      </c>
      <c r="F63" s="25">
        <v>579528.58120000002</v>
      </c>
      <c r="G63" s="58">
        <v>558390.27714000002</v>
      </c>
      <c r="H63" s="38">
        <f t="shared" si="29"/>
        <v>21138.304059999995</v>
      </c>
      <c r="I63" s="25">
        <f>415450.79236-I98</f>
        <v>415450.79236000002</v>
      </c>
      <c r="J63" s="58">
        <v>393668.2023</v>
      </c>
      <c r="K63" s="38">
        <f t="shared" si="30"/>
        <v>21782.590060000017</v>
      </c>
      <c r="L63" s="50">
        <f t="shared" si="36"/>
        <v>9.420066052412654</v>
      </c>
      <c r="M63" s="25">
        <f>366730.27154</f>
        <v>366730.27153999999</v>
      </c>
      <c r="N63" s="58">
        <v>347764.20629</v>
      </c>
      <c r="O63" s="38">
        <f t="shared" si="31"/>
        <v>18966.065249999985</v>
      </c>
      <c r="P63" s="25">
        <v>351266.43790999998</v>
      </c>
      <c r="Q63" s="58">
        <v>319172.28665999998</v>
      </c>
      <c r="R63" s="38">
        <f t="shared" si="32"/>
        <v>32094.151249999995</v>
      </c>
      <c r="S63" s="25">
        <v>0</v>
      </c>
      <c r="T63" s="25">
        <v>0</v>
      </c>
      <c r="U63" s="38">
        <f t="shared" si="33"/>
        <v>0</v>
      </c>
      <c r="V63" s="50">
        <f t="shared" si="40"/>
        <v>0</v>
      </c>
    </row>
    <row r="64" spans="1:22" x14ac:dyDescent="0.25">
      <c r="A64" s="51" t="s">
        <v>89</v>
      </c>
      <c r="B64" s="31" t="s">
        <v>90</v>
      </c>
      <c r="C64" s="25"/>
      <c r="D64" s="58"/>
      <c r="E64" s="38">
        <f t="shared" si="0"/>
        <v>0</v>
      </c>
      <c r="F64" s="25"/>
      <c r="G64" s="58"/>
      <c r="H64" s="38">
        <f t="shared" si="29"/>
        <v>0</v>
      </c>
      <c r="I64" s="25"/>
      <c r="J64" s="58"/>
      <c r="K64" s="38">
        <f t="shared" si="30"/>
        <v>0</v>
      </c>
      <c r="L64" s="50" t="e">
        <f t="shared" si="36"/>
        <v>#DIV/0!</v>
      </c>
      <c r="M64" s="25"/>
      <c r="N64" s="58"/>
      <c r="O64" s="38">
        <f t="shared" si="31"/>
        <v>0</v>
      </c>
      <c r="P64" s="25"/>
      <c r="Q64" s="58"/>
      <c r="R64" s="38">
        <f t="shared" si="32"/>
        <v>0</v>
      </c>
      <c r="S64" s="25"/>
      <c r="T64" s="25"/>
      <c r="U64" s="38">
        <f t="shared" si="33"/>
        <v>0</v>
      </c>
      <c r="V64" s="50" t="e">
        <f t="shared" si="40"/>
        <v>#DIV/0!</v>
      </c>
    </row>
    <row r="65" spans="1:22" ht="38.25" x14ac:dyDescent="0.25">
      <c r="A65" s="51" t="s">
        <v>91</v>
      </c>
      <c r="B65" s="31" t="s">
        <v>92</v>
      </c>
      <c r="C65" s="25">
        <v>1989131.04012</v>
      </c>
      <c r="D65" s="58">
        <v>1253023.36791</v>
      </c>
      <c r="E65" s="38">
        <f t="shared" si="0"/>
        <v>736107.67220999999</v>
      </c>
      <c r="F65" s="25">
        <v>1943407.70334</v>
      </c>
      <c r="G65" s="58">
        <v>1162407.69734</v>
      </c>
      <c r="H65" s="38">
        <f t="shared" si="29"/>
        <v>781000.00600000005</v>
      </c>
      <c r="I65" s="25">
        <v>2172653.1625999999</v>
      </c>
      <c r="J65" s="58">
        <v>1304968.5502500001</v>
      </c>
      <c r="K65" s="38">
        <f t="shared" si="30"/>
        <v>867684.61234999984</v>
      </c>
      <c r="L65" s="50">
        <f t="shared" si="36"/>
        <v>1.1787468669426706</v>
      </c>
      <c r="M65" s="25">
        <v>2139587.1211100002</v>
      </c>
      <c r="N65" s="58">
        <v>1279238.31467</v>
      </c>
      <c r="O65" s="38">
        <f t="shared" si="31"/>
        <v>860348.80644000019</v>
      </c>
      <c r="P65" s="25">
        <v>2157410.9620500002</v>
      </c>
      <c r="Q65" s="58">
        <v>1275139.31333</v>
      </c>
      <c r="R65" s="38">
        <f t="shared" si="32"/>
        <v>882271.64872000017</v>
      </c>
      <c r="S65" s="25">
        <v>31115.599999999999</v>
      </c>
      <c r="T65" s="25">
        <v>27915</v>
      </c>
      <c r="U65" s="38">
        <f t="shared" si="33"/>
        <v>3200.5999999999985</v>
      </c>
      <c r="V65" s="50">
        <f t="shared" si="40"/>
        <v>4.3480052183003434E-3</v>
      </c>
    </row>
    <row r="66" spans="1:22" ht="51" x14ac:dyDescent="0.25">
      <c r="A66" s="51"/>
      <c r="B66" s="59" t="s">
        <v>93</v>
      </c>
      <c r="C66" s="60">
        <f>C67+C70+C71+C72+C73+C74</f>
        <v>1878316.3527299999</v>
      </c>
      <c r="D66" s="60">
        <f>D67+D70+D71+D72+D73+D74</f>
        <v>1213896.8482199998</v>
      </c>
      <c r="E66" s="61">
        <f t="shared" si="0"/>
        <v>664419.50451000012</v>
      </c>
      <c r="F66" s="62">
        <f>F67+F70+F71+F72+F73+F74</f>
        <v>2007565.0576200001</v>
      </c>
      <c r="G66" s="62">
        <f>G67+G70+G71+G72+G73+G74</f>
        <v>1184634.2659999998</v>
      </c>
      <c r="H66" s="61">
        <f t="shared" si="29"/>
        <v>822930.79162000027</v>
      </c>
      <c r="I66" s="62">
        <f>I67+I70+I71+I72+I73+I74</f>
        <v>2333607.4540800001</v>
      </c>
      <c r="J66" s="62">
        <f>J67+J70+J71+J72+J73+J74</f>
        <v>1392043.3187099998</v>
      </c>
      <c r="K66" s="61">
        <f t="shared" si="30"/>
        <v>941564.13537000027</v>
      </c>
      <c r="L66" s="63">
        <f t="shared" si="36"/>
        <v>1.4171229606879021</v>
      </c>
      <c r="M66" s="62">
        <f>M67+M70+M71+M72+M73+M74</f>
        <v>2075847.1836100002</v>
      </c>
      <c r="N66" s="62">
        <f>N67+N70+N71+N72+N73+N74</f>
        <v>1232924.98832</v>
      </c>
      <c r="O66" s="61">
        <f t="shared" si="31"/>
        <v>842922.19529000018</v>
      </c>
      <c r="P66" s="62">
        <f>P67+P70+P71+P72+P73+P74</f>
        <v>2157410.6528099999</v>
      </c>
      <c r="Q66" s="62">
        <f>Q67+Q70+Q71+Q72+Q73+Q74</f>
        <v>1275138.5</v>
      </c>
      <c r="R66" s="61">
        <f t="shared" si="32"/>
        <v>882272.15280999988</v>
      </c>
      <c r="S66" s="62">
        <f>S67+S70+S71+S72+S73+S74</f>
        <v>28628.5</v>
      </c>
      <c r="T66" s="62">
        <f>T67+T70+T71+T72+T73+T74</f>
        <v>13347.5</v>
      </c>
      <c r="U66" s="61">
        <f t="shared" si="33"/>
        <v>15281</v>
      </c>
      <c r="V66" s="64">
        <f t="shared" si="40"/>
        <v>2.299902380389859E-2</v>
      </c>
    </row>
    <row r="67" spans="1:22" x14ac:dyDescent="0.25">
      <c r="A67" s="51" t="s">
        <v>94</v>
      </c>
      <c r="B67" s="65" t="s">
        <v>95</v>
      </c>
      <c r="C67" s="66">
        <f>43960.50582+1258976.92136</f>
        <v>1302937.4271800001</v>
      </c>
      <c r="D67" s="67">
        <f>911046.9+32010.9</f>
        <v>943057.8</v>
      </c>
      <c r="E67" s="68">
        <f t="shared" si="0"/>
        <v>359879.62718000007</v>
      </c>
      <c r="F67" s="66">
        <v>1381127.30654</v>
      </c>
      <c r="G67" s="67">
        <v>994558.94799999997</v>
      </c>
      <c r="H67" s="68">
        <f t="shared" si="29"/>
        <v>386568.35854000004</v>
      </c>
      <c r="I67" s="66">
        <v>1484629.8861100001</v>
      </c>
      <c r="J67" s="67">
        <f>1044796.5+35224</f>
        <v>1080020.5</v>
      </c>
      <c r="K67" s="68">
        <f t="shared" si="30"/>
        <v>404609.38611000008</v>
      </c>
      <c r="L67" s="69">
        <f t="shared" si="36"/>
        <v>1.1242908893745953</v>
      </c>
      <c r="M67" s="66">
        <v>1408433.7320000001</v>
      </c>
      <c r="N67" s="67">
        <f>977424.5+35224</f>
        <v>1012648.5</v>
      </c>
      <c r="O67" s="68">
        <f t="shared" si="31"/>
        <v>395785.23200000008</v>
      </c>
      <c r="P67" s="66">
        <f>1448636.508+77563.676</f>
        <v>1526200.1839999999</v>
      </c>
      <c r="Q67" s="67">
        <f>1055618+42831.5</f>
        <v>1098449.5</v>
      </c>
      <c r="R67" s="68">
        <f t="shared" si="32"/>
        <v>427750.68399999989</v>
      </c>
      <c r="S67" s="66">
        <v>16714.2</v>
      </c>
      <c r="T67" s="67">
        <v>10114.5</v>
      </c>
      <c r="U67" s="68">
        <f t="shared" si="33"/>
        <v>6599.7000000000007</v>
      </c>
      <c r="V67" s="69">
        <f t="shared" si="40"/>
        <v>1.8338631868980586E-2</v>
      </c>
    </row>
    <row r="68" spans="1:22" x14ac:dyDescent="0.25">
      <c r="A68" s="51"/>
      <c r="B68" s="65" t="s">
        <v>7</v>
      </c>
      <c r="C68" s="66"/>
      <c r="D68" s="67"/>
      <c r="E68" s="68"/>
      <c r="F68" s="66"/>
      <c r="G68" s="67"/>
      <c r="H68" s="68"/>
      <c r="I68" s="66"/>
      <c r="J68" s="67"/>
      <c r="K68" s="68"/>
      <c r="L68" s="69"/>
      <c r="M68" s="66"/>
      <c r="N68" s="67"/>
      <c r="O68" s="68"/>
      <c r="P68" s="66"/>
      <c r="Q68" s="67"/>
      <c r="R68" s="68"/>
      <c r="S68" s="66"/>
      <c r="T68" s="67"/>
      <c r="U68" s="68"/>
      <c r="V68" s="69"/>
    </row>
    <row r="69" spans="1:22" ht="25.5" x14ac:dyDescent="0.25">
      <c r="A69" s="51"/>
      <c r="B69" s="65" t="s">
        <v>96</v>
      </c>
      <c r="C69" s="66">
        <f>2892.541+866.2513+967350.31344+290372.00703</f>
        <v>1261481.11277</v>
      </c>
      <c r="D69" s="67">
        <f>888273.1+32010.9</f>
        <v>920284</v>
      </c>
      <c r="E69" s="68">
        <f>C69-D69</f>
        <v>341197.11277000001</v>
      </c>
      <c r="F69" s="66">
        <v>1373722.84454</v>
      </c>
      <c r="G69" s="67">
        <v>991823.245</v>
      </c>
      <c r="H69" s="68">
        <f t="shared" si="29"/>
        <v>381899.59953999997</v>
      </c>
      <c r="I69" s="66">
        <v>1444052.38855</v>
      </c>
      <c r="J69" s="67">
        <f>1020027.3+35224</f>
        <v>1055251.3</v>
      </c>
      <c r="K69" s="68">
        <f t="shared" si="30"/>
        <v>388801.08854999999</v>
      </c>
      <c r="L69" s="69">
        <f t="shared" ref="L69:L74" si="41">K69/E69</f>
        <v>1.1395204531290677</v>
      </c>
      <c r="M69" s="66">
        <v>1370448.0370799999</v>
      </c>
      <c r="N69" s="67">
        <f>954644.9+35224</f>
        <v>989868.9</v>
      </c>
      <c r="O69" s="68">
        <f t="shared" si="31"/>
        <v>380579.1370799999</v>
      </c>
      <c r="P69" s="66">
        <f>1408470.984+76147.076</f>
        <v>1484618.06</v>
      </c>
      <c r="Q69" s="67">
        <f>42831.5+1040563</f>
        <v>1083394.5</v>
      </c>
      <c r="R69" s="68">
        <f t="shared" si="32"/>
        <v>401223.56000000006</v>
      </c>
      <c r="S69" s="66">
        <v>16704.2</v>
      </c>
      <c r="T69" s="67">
        <f>T67</f>
        <v>10114.5</v>
      </c>
      <c r="U69" s="68">
        <f t="shared" si="33"/>
        <v>6589.7000000000007</v>
      </c>
      <c r="V69" s="69">
        <f t="shared" ref="V69:V74" si="42">U69/E69</f>
        <v>1.9313469409227089E-2</v>
      </c>
    </row>
    <row r="70" spans="1:22" x14ac:dyDescent="0.25">
      <c r="A70" s="51" t="s">
        <v>97</v>
      </c>
      <c r="B70" s="65" t="s">
        <v>98</v>
      </c>
      <c r="C70" s="66">
        <f>1332.09327+2314.57585</f>
        <v>3646.6691200000005</v>
      </c>
      <c r="D70" s="67">
        <v>802.7</v>
      </c>
      <c r="E70" s="68">
        <f t="shared" ref="E70:E74" si="43">C70-D70</f>
        <v>2843.9691200000007</v>
      </c>
      <c r="F70" s="66">
        <v>3646.7</v>
      </c>
      <c r="G70" s="67">
        <v>802.7</v>
      </c>
      <c r="H70" s="68">
        <f t="shared" si="29"/>
        <v>2844</v>
      </c>
      <c r="I70" s="66">
        <v>27588.67326</v>
      </c>
      <c r="J70" s="67">
        <f>28304.9</f>
        <v>28304.9</v>
      </c>
      <c r="K70" s="68">
        <f t="shared" si="30"/>
        <v>-716.22674000000188</v>
      </c>
      <c r="L70" s="69">
        <f t="shared" si="41"/>
        <v>-0.25184054741072637</v>
      </c>
      <c r="M70" s="66">
        <v>27583.084729999999</v>
      </c>
      <c r="N70" s="67">
        <f>26815.5</f>
        <v>26815.5</v>
      </c>
      <c r="O70" s="68">
        <f t="shared" si="31"/>
        <v>767.58472999999867</v>
      </c>
      <c r="P70" s="66">
        <f>29235.86</f>
        <v>29235.86</v>
      </c>
      <c r="Q70" s="67">
        <v>28424</v>
      </c>
      <c r="R70" s="68">
        <f t="shared" si="32"/>
        <v>811.86000000000058</v>
      </c>
      <c r="S70" s="66">
        <v>118</v>
      </c>
      <c r="T70" s="67">
        <v>118</v>
      </c>
      <c r="U70" s="68">
        <f t="shared" si="33"/>
        <v>0</v>
      </c>
      <c r="V70" s="69">
        <f t="shared" si="42"/>
        <v>0</v>
      </c>
    </row>
    <row r="71" spans="1:22" x14ac:dyDescent="0.25">
      <c r="A71" s="51" t="s">
        <v>99</v>
      </c>
      <c r="B71" s="65" t="s">
        <v>100</v>
      </c>
      <c r="C71" s="66">
        <f>19547.8959+267.85052</f>
        <v>19815.746419999999</v>
      </c>
      <c r="D71" s="67">
        <v>2.5</v>
      </c>
      <c r="E71" s="68">
        <f t="shared" si="43"/>
        <v>19813.246419999999</v>
      </c>
      <c r="F71" s="66">
        <v>19993.716</v>
      </c>
      <c r="G71" s="67">
        <v>2.5</v>
      </c>
      <c r="H71" s="68">
        <f t="shared" si="29"/>
        <v>19991.216</v>
      </c>
      <c r="I71" s="66">
        <v>17883.01024</v>
      </c>
      <c r="J71" s="67"/>
      <c r="K71" s="68">
        <f t="shared" si="30"/>
        <v>17883.01024</v>
      </c>
      <c r="L71" s="69">
        <f t="shared" si="41"/>
        <v>0.90257850030817921</v>
      </c>
      <c r="M71" s="66">
        <v>17484.964240000001</v>
      </c>
      <c r="N71" s="67"/>
      <c r="O71" s="68">
        <f t="shared" si="31"/>
        <v>17484.964240000001</v>
      </c>
      <c r="P71" s="66">
        <f>17077.812+874.278</f>
        <v>17952.09</v>
      </c>
      <c r="Q71" s="67"/>
      <c r="R71" s="68">
        <f t="shared" si="32"/>
        <v>17952.09</v>
      </c>
      <c r="S71" s="66"/>
      <c r="T71" s="67"/>
      <c r="U71" s="68">
        <f t="shared" si="33"/>
        <v>0</v>
      </c>
      <c r="V71" s="69">
        <f t="shared" si="42"/>
        <v>0</v>
      </c>
    </row>
    <row r="72" spans="1:22" x14ac:dyDescent="0.25">
      <c r="A72" s="51" t="s">
        <v>101</v>
      </c>
      <c r="B72" s="65" t="s">
        <v>102</v>
      </c>
      <c r="C72" s="66"/>
      <c r="D72" s="67"/>
      <c r="E72" s="68">
        <f t="shared" si="43"/>
        <v>0</v>
      </c>
      <c r="F72" s="66"/>
      <c r="G72" s="67"/>
      <c r="H72" s="68">
        <f t="shared" si="29"/>
        <v>0</v>
      </c>
      <c r="I72" s="66"/>
      <c r="J72" s="67"/>
      <c r="K72" s="68">
        <f t="shared" si="30"/>
        <v>0</v>
      </c>
      <c r="L72" s="69" t="e">
        <f t="shared" si="41"/>
        <v>#DIV/0!</v>
      </c>
      <c r="M72" s="66"/>
      <c r="N72" s="67"/>
      <c r="O72" s="68">
        <f t="shared" si="31"/>
        <v>0</v>
      </c>
      <c r="P72" s="66"/>
      <c r="Q72" s="67"/>
      <c r="R72" s="68">
        <f t="shared" si="32"/>
        <v>0</v>
      </c>
      <c r="S72" s="66"/>
      <c r="T72" s="67"/>
      <c r="U72" s="68">
        <f t="shared" si="33"/>
        <v>0</v>
      </c>
      <c r="V72" s="69" t="e">
        <f t="shared" si="42"/>
        <v>#DIV/0!</v>
      </c>
    </row>
    <row r="73" spans="1:22" ht="25.5" x14ac:dyDescent="0.25">
      <c r="A73" s="51" t="s">
        <v>103</v>
      </c>
      <c r="B73" s="65" t="s">
        <v>104</v>
      </c>
      <c r="C73" s="66"/>
      <c r="D73" s="67"/>
      <c r="E73" s="68">
        <f t="shared" si="43"/>
        <v>0</v>
      </c>
      <c r="F73" s="66"/>
      <c r="G73" s="67"/>
      <c r="H73" s="68">
        <f t="shared" si="29"/>
        <v>0</v>
      </c>
      <c r="I73" s="66">
        <v>7120</v>
      </c>
      <c r="J73" s="67">
        <f>6650</f>
        <v>6650</v>
      </c>
      <c r="K73" s="68">
        <f t="shared" si="30"/>
        <v>470</v>
      </c>
      <c r="L73" s="69" t="e">
        <f t="shared" si="41"/>
        <v>#DIV/0!</v>
      </c>
      <c r="M73" s="66">
        <v>2220</v>
      </c>
      <c r="N73" s="67">
        <v>1995</v>
      </c>
      <c r="O73" s="68">
        <f t="shared" si="31"/>
        <v>225</v>
      </c>
      <c r="P73" s="66">
        <f>2226</f>
        <v>2226</v>
      </c>
      <c r="Q73" s="67">
        <v>2115</v>
      </c>
      <c r="R73" s="68">
        <f t="shared" si="32"/>
        <v>111</v>
      </c>
      <c r="S73" s="66"/>
      <c r="T73" s="67"/>
      <c r="U73" s="68">
        <f t="shared" si="33"/>
        <v>0</v>
      </c>
      <c r="V73" s="69" t="e">
        <f t="shared" si="42"/>
        <v>#DIV/0!</v>
      </c>
    </row>
    <row r="74" spans="1:22" x14ac:dyDescent="0.25">
      <c r="A74" s="51" t="s">
        <v>212</v>
      </c>
      <c r="B74" s="65" t="s">
        <v>105</v>
      </c>
      <c r="C74" s="66">
        <f>250919.67151+300996.8385</f>
        <v>551916.51000999997</v>
      </c>
      <c r="D74" s="67">
        <f>219153.3+50880.5482199999</f>
        <v>270033.84821999987</v>
      </c>
      <c r="E74" s="68">
        <f t="shared" si="43"/>
        <v>281882.6617900001</v>
      </c>
      <c r="F74" s="66">
        <v>602797.33507999999</v>
      </c>
      <c r="G74" s="67">
        <v>189270.11799999999</v>
      </c>
      <c r="H74" s="68">
        <f t="shared" si="29"/>
        <v>413527.21707999997</v>
      </c>
      <c r="I74" s="66">
        <v>796385.88447000005</v>
      </c>
      <c r="J74" s="67">
        <f>194230.6+82837.31871</f>
        <v>277067.91871</v>
      </c>
      <c r="K74" s="68">
        <f t="shared" si="30"/>
        <v>519317.96576000005</v>
      </c>
      <c r="L74" s="69">
        <f t="shared" si="41"/>
        <v>1.8423196462749702</v>
      </c>
      <c r="M74" s="66">
        <v>620125.40263999999</v>
      </c>
      <c r="N74" s="67">
        <f>121216.1+70249.88832</f>
        <v>191465.98832</v>
      </c>
      <c r="O74" s="68">
        <f t="shared" si="31"/>
        <v>428659.41431999998</v>
      </c>
      <c r="P74" s="66">
        <f>548390.026+27106.49281+6300</f>
        <v>581796.51880999992</v>
      </c>
      <c r="Q74" s="67">
        <f>62656+83494</f>
        <v>146150</v>
      </c>
      <c r="R74" s="68">
        <f t="shared" si="32"/>
        <v>435646.51880999992</v>
      </c>
      <c r="S74" s="66">
        <v>11796.3</v>
      </c>
      <c r="T74" s="67">
        <v>3115</v>
      </c>
      <c r="U74" s="68">
        <f t="shared" si="33"/>
        <v>8681.2999999999993</v>
      </c>
      <c r="V74" s="69">
        <f t="shared" si="42"/>
        <v>3.0797566423107943E-2</v>
      </c>
    </row>
    <row r="75" spans="1:22" x14ac:dyDescent="0.25">
      <c r="A75" s="51"/>
      <c r="B75" s="65" t="s">
        <v>7</v>
      </c>
      <c r="C75" s="66"/>
      <c r="D75" s="67"/>
      <c r="E75" s="68"/>
      <c r="F75" s="66"/>
      <c r="G75" s="67"/>
      <c r="H75" s="68"/>
      <c r="I75" s="66"/>
      <c r="J75" s="67"/>
      <c r="K75" s="68"/>
      <c r="L75" s="69"/>
      <c r="M75" s="66"/>
      <c r="N75" s="67"/>
      <c r="O75" s="68"/>
      <c r="P75" s="66"/>
      <c r="Q75" s="67"/>
      <c r="R75" s="68"/>
      <c r="S75" s="66"/>
      <c r="T75" s="67"/>
      <c r="U75" s="68"/>
      <c r="V75" s="69"/>
    </row>
    <row r="76" spans="1:22" ht="25.5" x14ac:dyDescent="0.25">
      <c r="A76" s="51"/>
      <c r="B76" s="65" t="s">
        <v>106</v>
      </c>
      <c r="C76" s="66">
        <f>116076.6+12860.85351</f>
        <v>128937.45351000001</v>
      </c>
      <c r="D76" s="67">
        <v>8000</v>
      </c>
      <c r="E76" s="68">
        <f t="shared" ref="E76:E78" si="44">C76-D76</f>
        <v>120937.45351000001</v>
      </c>
      <c r="F76" s="66">
        <v>37202.758260000002</v>
      </c>
      <c r="G76" s="67"/>
      <c r="H76" s="68">
        <f t="shared" ref="H76:H78" si="45">F76-G76</f>
        <v>37202.758260000002</v>
      </c>
      <c r="I76" s="66">
        <f>133863.2+16567.22595</f>
        <v>150430.42595</v>
      </c>
      <c r="J76" s="67">
        <f>0</f>
        <v>0</v>
      </c>
      <c r="K76" s="68">
        <f t="shared" ref="K76:K78" si="46">I76-J76</f>
        <v>150430.42595</v>
      </c>
      <c r="L76" s="69">
        <f>K76/E76</f>
        <v>1.2438696333023194</v>
      </c>
      <c r="M76" s="66">
        <f>113347.8+13185.41666</f>
        <v>126533.21666000001</v>
      </c>
      <c r="N76" s="67"/>
      <c r="O76" s="68">
        <f t="shared" ref="O76:O78" si="47">M76-N76</f>
        <v>126533.21666000001</v>
      </c>
      <c r="P76" s="66">
        <f>122415.624+14155.51661</f>
        <v>136571.14061</v>
      </c>
      <c r="Q76" s="67">
        <v>0</v>
      </c>
      <c r="R76" s="68">
        <f t="shared" ref="R76:R78" si="48">P76-Q76</f>
        <v>136571.14061</v>
      </c>
      <c r="S76" s="66">
        <v>8745.2999999999993</v>
      </c>
      <c r="T76" s="67"/>
      <c r="U76" s="68">
        <f t="shared" ref="U76:U78" si="49">S76-T76</f>
        <v>8745.2999999999993</v>
      </c>
      <c r="V76" s="69">
        <f>U76/E76</f>
        <v>7.2312585937464549E-2</v>
      </c>
    </row>
    <row r="77" spans="1:22" ht="25.5" x14ac:dyDescent="0.25">
      <c r="A77" s="51"/>
      <c r="B77" s="65" t="s">
        <v>83</v>
      </c>
      <c r="C77" s="66">
        <f>196330+2274.58313</f>
        <v>198604.58313000001</v>
      </c>
      <c r="D77" s="67">
        <v>140447.79999999999</v>
      </c>
      <c r="E77" s="68">
        <f t="shared" si="44"/>
        <v>58156.783130000025</v>
      </c>
      <c r="F77" s="66">
        <v>200256.08</v>
      </c>
      <c r="G77" s="67">
        <v>140447.79999999999</v>
      </c>
      <c r="H77" s="68">
        <f t="shared" si="45"/>
        <v>59808.28</v>
      </c>
      <c r="I77" s="66">
        <f>157799.6+43221.2036</f>
        <v>201020.80360000001</v>
      </c>
      <c r="J77" s="67">
        <f>39644.8+38144.57059</f>
        <v>77789.370590000006</v>
      </c>
      <c r="K77" s="68">
        <f t="shared" si="46"/>
        <v>123231.43301000001</v>
      </c>
      <c r="L77" s="69">
        <f>K77/E77</f>
        <v>2.118952018624142</v>
      </c>
      <c r="M77" s="66">
        <f>136670.5+38791.94162</f>
        <v>175462.44162</v>
      </c>
      <c r="N77" s="67">
        <f>38877+34142.8477</f>
        <v>73019.847699999998</v>
      </c>
      <c r="O77" s="68">
        <f t="shared" si="47"/>
        <v>102442.59392</v>
      </c>
      <c r="P77" s="66">
        <f>147604.14+2059.88063</f>
        <v>149664.02063000001</v>
      </c>
      <c r="Q77" s="67">
        <f>38877+42745</f>
        <v>81622</v>
      </c>
      <c r="R77" s="68">
        <f t="shared" si="48"/>
        <v>68042.020630000014</v>
      </c>
      <c r="S77" s="66">
        <v>412.5</v>
      </c>
      <c r="T77" s="67"/>
      <c r="U77" s="68">
        <f t="shared" si="49"/>
        <v>412.5</v>
      </c>
      <c r="V77" s="69">
        <f>U77/E77</f>
        <v>7.0928957517805511E-3</v>
      </c>
    </row>
    <row r="78" spans="1:22" ht="25.5" x14ac:dyDescent="0.25">
      <c r="A78" s="51"/>
      <c r="B78" s="65" t="s">
        <v>84</v>
      </c>
      <c r="C78" s="66">
        <f>40774.1+2165.0605</f>
        <v>42939.160499999998</v>
      </c>
      <c r="D78" s="67">
        <v>26445.4</v>
      </c>
      <c r="E78" s="68">
        <f t="shared" si="44"/>
        <v>16493.760499999997</v>
      </c>
      <c r="F78" s="66">
        <v>41286.90292</v>
      </c>
      <c r="G78" s="67">
        <v>26445.4</v>
      </c>
      <c r="H78" s="68">
        <f t="shared" si="45"/>
        <v>14841.502919999999</v>
      </c>
      <c r="I78" s="66">
        <f>106515.9+12901.96459</f>
        <v>119417.86459</v>
      </c>
      <c r="J78" s="67">
        <f>40502.3+6286.00248</f>
        <v>46788.302480000006</v>
      </c>
      <c r="K78" s="68">
        <f t="shared" si="46"/>
        <v>72629.562109999999</v>
      </c>
      <c r="L78" s="69">
        <f>K78/E78</f>
        <v>4.4034568168975179</v>
      </c>
      <c r="M78" s="66">
        <f>89885.5+12782.34959</f>
        <v>102667.84959</v>
      </c>
      <c r="N78" s="67">
        <f>3941.7+6286.00248</f>
        <v>10227.70248</v>
      </c>
      <c r="O78" s="68">
        <f t="shared" si="47"/>
        <v>92440.147109999991</v>
      </c>
      <c r="P78" s="66">
        <f>95278.63</f>
        <v>95278.63</v>
      </c>
      <c r="Q78" s="67">
        <f>6300+4300</f>
        <v>10600</v>
      </c>
      <c r="R78" s="68">
        <f t="shared" si="48"/>
        <v>84678.63</v>
      </c>
      <c r="S78" s="66">
        <v>25</v>
      </c>
      <c r="T78" s="67"/>
      <c r="U78" s="68">
        <f t="shared" si="49"/>
        <v>25</v>
      </c>
      <c r="V78" s="69">
        <f>U78/E78</f>
        <v>1.5157246887391148E-3</v>
      </c>
    </row>
    <row r="79" spans="1:22" ht="25.5" x14ac:dyDescent="0.25">
      <c r="A79" s="23" t="s">
        <v>107</v>
      </c>
      <c r="B79" s="31" t="s">
        <v>108</v>
      </c>
      <c r="C79" s="25">
        <v>117.99981</v>
      </c>
      <c r="D79" s="70"/>
      <c r="E79" s="38">
        <f t="shared" si="0"/>
        <v>117.99981</v>
      </c>
      <c r="F79" s="25">
        <v>219</v>
      </c>
      <c r="G79" s="70">
        <v>0</v>
      </c>
      <c r="H79" s="38">
        <f t="shared" si="29"/>
        <v>219</v>
      </c>
      <c r="I79" s="25">
        <v>103.4</v>
      </c>
      <c r="J79" s="70"/>
      <c r="K79" s="38">
        <f t="shared" si="30"/>
        <v>103.4</v>
      </c>
      <c r="L79" s="50">
        <f>K79/E79</f>
        <v>0.87627259738808061</v>
      </c>
      <c r="M79" s="25">
        <v>103.36121</v>
      </c>
      <c r="N79" s="70">
        <v>0</v>
      </c>
      <c r="O79" s="38">
        <f t="shared" si="31"/>
        <v>103.36121</v>
      </c>
      <c r="P79" s="25">
        <v>225.3</v>
      </c>
      <c r="Q79" s="70"/>
      <c r="R79" s="38">
        <f t="shared" si="32"/>
        <v>225.3</v>
      </c>
      <c r="S79" s="25">
        <v>0</v>
      </c>
      <c r="T79" s="70"/>
      <c r="U79" s="38">
        <f t="shared" si="33"/>
        <v>0</v>
      </c>
      <c r="V79" s="50">
        <f>U79/E79</f>
        <v>0</v>
      </c>
    </row>
    <row r="80" spans="1:22" ht="25.5" x14ac:dyDescent="0.25">
      <c r="A80" s="23" t="s">
        <v>109</v>
      </c>
      <c r="B80" s="31" t="s">
        <v>110</v>
      </c>
      <c r="C80" s="25">
        <f>C82+C83+C84+C85</f>
        <v>12548.824909999999</v>
      </c>
      <c r="D80" s="58">
        <f>D82+D83+D84+D85</f>
        <v>2545.1512400000001</v>
      </c>
      <c r="E80" s="38">
        <f t="shared" si="0"/>
        <v>10003.67367</v>
      </c>
      <c r="F80" s="25">
        <v>10009</v>
      </c>
      <c r="G80" s="58">
        <v>1834</v>
      </c>
      <c r="H80" s="38">
        <f t="shared" si="29"/>
        <v>8175</v>
      </c>
      <c r="I80" s="25">
        <f>I82+I83+I84+I85+I86</f>
        <v>22952.587480000006</v>
      </c>
      <c r="J80" s="25">
        <f>J82+J83+J84+J85+J86</f>
        <v>3438.6</v>
      </c>
      <c r="K80" s="38">
        <f t="shared" si="30"/>
        <v>19513.987480000007</v>
      </c>
      <c r="L80" s="50">
        <f>K80/E80</f>
        <v>1.9506821317573033</v>
      </c>
      <c r="M80" s="25">
        <f>M82+M83+M84+M85+M86</f>
        <v>18038.02967</v>
      </c>
      <c r="N80" s="25">
        <f>N82+N83+N84+N85+N86</f>
        <v>3321.84989</v>
      </c>
      <c r="O80" s="38">
        <f t="shared" si="31"/>
        <v>14716.17978</v>
      </c>
      <c r="P80" s="25">
        <f>P82+P83+P84+P85+P86</f>
        <v>24238.799999999999</v>
      </c>
      <c r="Q80" s="25">
        <f>Q82+Q83+Q84+Q85+Q86</f>
        <v>4031.1</v>
      </c>
      <c r="R80" s="38">
        <f t="shared" si="32"/>
        <v>20207.7</v>
      </c>
      <c r="S80" s="25">
        <f>S82+S83+S84+S85+S86</f>
        <v>4.6139999999999999</v>
      </c>
      <c r="T80" s="70"/>
      <c r="U80" s="38">
        <f t="shared" si="33"/>
        <v>4.6139999999999999</v>
      </c>
      <c r="V80" s="50">
        <f>U80/E80</f>
        <v>4.6123055911319024E-4</v>
      </c>
    </row>
    <row r="81" spans="1:22" x14ac:dyDescent="0.25">
      <c r="A81" s="23"/>
      <c r="B81" s="31" t="s">
        <v>17</v>
      </c>
      <c r="C81" s="25"/>
      <c r="D81" s="58"/>
      <c r="E81" s="38"/>
      <c r="F81" s="25"/>
      <c r="G81" s="58"/>
      <c r="H81" s="38"/>
      <c r="I81" s="25"/>
      <c r="J81" s="58"/>
      <c r="K81" s="38"/>
      <c r="L81" s="50"/>
      <c r="M81" s="25"/>
      <c r="N81" s="58"/>
      <c r="O81" s="38"/>
      <c r="P81" s="25"/>
      <c r="Q81" s="58"/>
      <c r="R81" s="38"/>
      <c r="S81" s="25"/>
      <c r="T81" s="70"/>
      <c r="U81" s="38"/>
      <c r="V81" s="50"/>
    </row>
    <row r="82" spans="1:22" ht="76.5" x14ac:dyDescent="0.25">
      <c r="A82" s="23"/>
      <c r="B82" s="31" t="s">
        <v>111</v>
      </c>
      <c r="C82" s="25">
        <v>7880.4977600000002</v>
      </c>
      <c r="D82" s="58">
        <v>745.27124000000003</v>
      </c>
      <c r="E82" s="38">
        <f t="shared" si="0"/>
        <v>7135.2265200000002</v>
      </c>
      <c r="F82" s="25">
        <v>100</v>
      </c>
      <c r="G82" s="58">
        <v>0</v>
      </c>
      <c r="H82" s="38">
        <f t="shared" si="29"/>
        <v>100</v>
      </c>
      <c r="I82" s="25">
        <f>35419.9-I102</f>
        <v>15974.421610000001</v>
      </c>
      <c r="J82" s="58">
        <v>1604.6</v>
      </c>
      <c r="K82" s="38">
        <f t="shared" si="30"/>
        <v>14369.821610000001</v>
      </c>
      <c r="L82" s="50">
        <f t="shared" ref="L82:L88" si="50">K82/E82</f>
        <v>2.0139264772774168</v>
      </c>
      <c r="M82" s="25">
        <f>34239.59764-M102</f>
        <v>14794.12025</v>
      </c>
      <c r="N82" s="58">
        <v>1567.5</v>
      </c>
      <c r="O82" s="38">
        <f t="shared" si="31"/>
        <v>13226.62025</v>
      </c>
      <c r="P82" s="25">
        <v>174.2</v>
      </c>
      <c r="Q82" s="58">
        <v>74.2</v>
      </c>
      <c r="R82" s="38">
        <f t="shared" si="32"/>
        <v>99.999999999999986</v>
      </c>
      <c r="S82" s="25">
        <v>0</v>
      </c>
      <c r="T82" s="70"/>
      <c r="U82" s="38">
        <f t="shared" si="33"/>
        <v>0</v>
      </c>
      <c r="V82" s="50">
        <f t="shared" ref="V82:V88" si="51">U82/E82</f>
        <v>0</v>
      </c>
    </row>
    <row r="83" spans="1:22" ht="25.5" x14ac:dyDescent="0.25">
      <c r="A83" s="23"/>
      <c r="B83" s="31" t="s">
        <v>112</v>
      </c>
      <c r="C83" s="25">
        <v>2355.5427100000002</v>
      </c>
      <c r="D83" s="58">
        <v>0</v>
      </c>
      <c r="E83" s="38">
        <f t="shared" si="0"/>
        <v>2355.5427100000002</v>
      </c>
      <c r="F83" s="25">
        <v>0</v>
      </c>
      <c r="G83" s="58">
        <v>0</v>
      </c>
      <c r="H83" s="38">
        <f t="shared" si="29"/>
        <v>0</v>
      </c>
      <c r="I83" s="25">
        <f>489.04045-I103</f>
        <v>339.04045000000002</v>
      </c>
      <c r="J83" s="58"/>
      <c r="K83" s="38">
        <f t="shared" si="30"/>
        <v>339.04045000000002</v>
      </c>
      <c r="L83" s="50">
        <f t="shared" si="50"/>
        <v>0.14393305141981483</v>
      </c>
      <c r="M83" s="25">
        <f>475.05475-M103</f>
        <v>325.05475000000001</v>
      </c>
      <c r="N83" s="58"/>
      <c r="O83" s="38">
        <f t="shared" si="31"/>
        <v>325.05475000000001</v>
      </c>
      <c r="P83" s="25"/>
      <c r="Q83" s="58"/>
      <c r="R83" s="38">
        <f t="shared" si="32"/>
        <v>0</v>
      </c>
      <c r="S83" s="25">
        <v>4.6139999999999999</v>
      </c>
      <c r="T83" s="70"/>
      <c r="U83" s="38">
        <f t="shared" si="33"/>
        <v>4.6139999999999999</v>
      </c>
      <c r="V83" s="50">
        <f t="shared" si="51"/>
        <v>1.9587842667475978E-3</v>
      </c>
    </row>
    <row r="84" spans="1:22" ht="25.5" x14ac:dyDescent="0.25">
      <c r="A84" s="23"/>
      <c r="B84" s="31" t="s">
        <v>113</v>
      </c>
      <c r="C84" s="25">
        <v>2312.7844399999999</v>
      </c>
      <c r="D84" s="58">
        <v>1799.88</v>
      </c>
      <c r="E84" s="38">
        <f t="shared" si="0"/>
        <v>512.90443999999979</v>
      </c>
      <c r="F84" s="25">
        <v>1909</v>
      </c>
      <c r="G84" s="58">
        <v>1834</v>
      </c>
      <c r="H84" s="38">
        <f t="shared" si="29"/>
        <v>75</v>
      </c>
      <c r="I84" s="25">
        <f>2942.00478-I104</f>
        <v>2339.3047800000004</v>
      </c>
      <c r="J84" s="58">
        <v>1834</v>
      </c>
      <c r="K84" s="38">
        <f t="shared" si="30"/>
        <v>505.30478000000039</v>
      </c>
      <c r="L84" s="50">
        <f t="shared" si="50"/>
        <v>0.98518308790620057</v>
      </c>
      <c r="M84" s="25">
        <f>2849.35958-M104</f>
        <v>2259.6546699999999</v>
      </c>
      <c r="N84" s="58">
        <v>1754.34989</v>
      </c>
      <c r="O84" s="38">
        <f t="shared" si="31"/>
        <v>505.30477999999994</v>
      </c>
      <c r="P84" s="25">
        <v>4064.6</v>
      </c>
      <c r="Q84" s="58">
        <f>3956.9</f>
        <v>3956.9</v>
      </c>
      <c r="R84" s="38">
        <f t="shared" si="32"/>
        <v>107.69999999999982</v>
      </c>
      <c r="S84" s="25"/>
      <c r="T84" s="70"/>
      <c r="U84" s="38">
        <f t="shared" si="33"/>
        <v>0</v>
      </c>
      <c r="V84" s="50">
        <f t="shared" si="51"/>
        <v>0</v>
      </c>
    </row>
    <row r="85" spans="1:22" x14ac:dyDescent="0.25">
      <c r="A85" s="23"/>
      <c r="B85" s="31" t="s">
        <v>114</v>
      </c>
      <c r="C85" s="25">
        <v>0</v>
      </c>
      <c r="D85" s="58">
        <v>0</v>
      </c>
      <c r="E85" s="38">
        <f t="shared" si="0"/>
        <v>0</v>
      </c>
      <c r="F85" s="25">
        <v>8000</v>
      </c>
      <c r="G85" s="58">
        <v>0</v>
      </c>
      <c r="H85" s="38">
        <f t="shared" si="29"/>
        <v>8000</v>
      </c>
      <c r="I85" s="25">
        <v>3640.6206400000001</v>
      </c>
      <c r="J85" s="58"/>
      <c r="K85" s="38">
        <f t="shared" si="30"/>
        <v>3640.6206400000001</v>
      </c>
      <c r="L85" s="50" t="e">
        <f t="shared" si="50"/>
        <v>#DIV/0!</v>
      </c>
      <c r="M85" s="25"/>
      <c r="N85" s="58"/>
      <c r="O85" s="38">
        <f t="shared" si="31"/>
        <v>0</v>
      </c>
      <c r="P85" s="25">
        <v>20000</v>
      </c>
      <c r="Q85" s="58"/>
      <c r="R85" s="38">
        <f t="shared" si="32"/>
        <v>20000</v>
      </c>
      <c r="S85" s="25"/>
      <c r="T85" s="70"/>
      <c r="U85" s="38">
        <f t="shared" si="33"/>
        <v>0</v>
      </c>
      <c r="V85" s="50" t="e">
        <f t="shared" si="51"/>
        <v>#DIV/0!</v>
      </c>
    </row>
    <row r="86" spans="1:22" x14ac:dyDescent="0.25">
      <c r="A86" s="23"/>
      <c r="B86" s="31" t="s">
        <v>222</v>
      </c>
      <c r="C86" s="25"/>
      <c r="D86" s="58"/>
      <c r="E86" s="38"/>
      <c r="F86" s="25"/>
      <c r="G86" s="58"/>
      <c r="H86" s="38"/>
      <c r="I86" s="25">
        <v>659.2</v>
      </c>
      <c r="J86" s="58"/>
      <c r="K86" s="38"/>
      <c r="L86" s="50"/>
      <c r="M86" s="25">
        <v>659.2</v>
      </c>
      <c r="N86" s="58"/>
      <c r="O86" s="38"/>
      <c r="P86" s="25"/>
      <c r="Q86" s="58"/>
      <c r="R86" s="38"/>
      <c r="S86" s="25"/>
      <c r="T86" s="70"/>
      <c r="U86" s="38"/>
      <c r="V86" s="50"/>
    </row>
    <row r="87" spans="1:22" x14ac:dyDescent="0.25">
      <c r="A87" s="14" t="s">
        <v>115</v>
      </c>
      <c r="B87" s="71" t="s">
        <v>116</v>
      </c>
      <c r="C87" s="49">
        <f>C88+C92+C97+C98+C99+C100</f>
        <v>239582.17</v>
      </c>
      <c r="D87" s="49">
        <f>D88+D92+D97+D98+D99+D100</f>
        <v>72271.142129999993</v>
      </c>
      <c r="E87" s="38">
        <f t="shared" si="0"/>
        <v>167311.02787000002</v>
      </c>
      <c r="F87" s="49">
        <f>F88+F92+F97+F98+F99+F100</f>
        <v>279830.80943999998</v>
      </c>
      <c r="G87" s="49">
        <f>G88+G92+G97+G98+G99+G100</f>
        <v>58674.544439999998</v>
      </c>
      <c r="H87" s="38">
        <f t="shared" si="29"/>
        <v>221156.26499999998</v>
      </c>
      <c r="I87" s="49">
        <f>I88+I92+I97+I98+I99+I100</f>
        <v>486045.47735</v>
      </c>
      <c r="J87" s="49">
        <f>J88+J92+J97+J98+J99+J100</f>
        <v>248937.71497</v>
      </c>
      <c r="K87" s="38">
        <f t="shared" si="30"/>
        <v>237107.76238</v>
      </c>
      <c r="L87" s="50">
        <f t="shared" si="50"/>
        <v>1.4171675674853408</v>
      </c>
      <c r="M87" s="49">
        <f>M88+M92+M97+M98+M99+M100</f>
        <v>453424.80467999994</v>
      </c>
      <c r="N87" s="49">
        <f>N88+N92+N97+N98+N99+N100</f>
        <v>226478.71205999999</v>
      </c>
      <c r="O87" s="38">
        <f t="shared" si="31"/>
        <v>226946.09261999995</v>
      </c>
      <c r="P87" s="49">
        <f>P88+P92+P97+P98+P99+P100</f>
        <v>259155.31667000003</v>
      </c>
      <c r="Q87" s="49">
        <f>Q88+Q92+Q97+Q98+Q99+Q100</f>
        <v>52104.466699999997</v>
      </c>
      <c r="R87" s="38">
        <f t="shared" si="32"/>
        <v>207050.84997000004</v>
      </c>
      <c r="S87" s="49">
        <f>S88+S92+S97+S98+S99+S100</f>
        <v>1964.2</v>
      </c>
      <c r="T87" s="49">
        <f>T88+T92+T97+T98+T99+T100</f>
        <v>0</v>
      </c>
      <c r="U87" s="38">
        <f t="shared" ref="U87" si="52">S87-T87</f>
        <v>1964.2</v>
      </c>
      <c r="V87" s="50">
        <f t="shared" si="51"/>
        <v>1.1739811923970578E-2</v>
      </c>
    </row>
    <row r="88" spans="1:22" ht="38.25" x14ac:dyDescent="0.25">
      <c r="A88" s="23" t="s">
        <v>117</v>
      </c>
      <c r="B88" s="31" t="s">
        <v>118</v>
      </c>
      <c r="C88" s="25">
        <v>78780.784790000005</v>
      </c>
      <c r="D88" s="25">
        <v>0</v>
      </c>
      <c r="E88" s="38">
        <f>C88-D88</f>
        <v>78780.784790000005</v>
      </c>
      <c r="F88" s="25">
        <v>83582.899999999994</v>
      </c>
      <c r="G88" s="58">
        <v>0</v>
      </c>
      <c r="H88" s="38">
        <f t="shared" si="29"/>
        <v>83582.899999999994</v>
      </c>
      <c r="I88" s="25">
        <f>I90+I91+96.84685+109+255+814.61343</f>
        <v>75653.004459999996</v>
      </c>
      <c r="J88" s="58">
        <f>J90+J91</f>
        <v>0</v>
      </c>
      <c r="K88" s="38">
        <f t="shared" si="30"/>
        <v>75653.004459999996</v>
      </c>
      <c r="L88" s="50">
        <f t="shared" si="50"/>
        <v>0.96029767489194862</v>
      </c>
      <c r="M88" s="25">
        <f>M90+M91+96.84685+79.1169+226.52726+812.75543</f>
        <v>73344.141279999996</v>
      </c>
      <c r="N88" s="58">
        <f>N90+N91</f>
        <v>0</v>
      </c>
      <c r="O88" s="38">
        <f t="shared" si="31"/>
        <v>73344.141279999996</v>
      </c>
      <c r="P88" s="25">
        <f>P90+P91+1597.6</f>
        <v>81416.700000000012</v>
      </c>
      <c r="Q88" s="25">
        <f>Q90+Q91</f>
        <v>0</v>
      </c>
      <c r="R88" s="38">
        <f t="shared" si="32"/>
        <v>81416.700000000012</v>
      </c>
      <c r="S88" s="25">
        <f>S90+S91</f>
        <v>1539.2</v>
      </c>
      <c r="T88" s="25">
        <f>T90+T91</f>
        <v>0</v>
      </c>
      <c r="U88" s="38">
        <f t="shared" si="33"/>
        <v>1539.2</v>
      </c>
      <c r="V88" s="50">
        <f t="shared" si="51"/>
        <v>1.9537759164280088E-2</v>
      </c>
    </row>
    <row r="89" spans="1:22" x14ac:dyDescent="0.25">
      <c r="A89" s="23"/>
      <c r="B89" s="31" t="s">
        <v>17</v>
      </c>
      <c r="C89" s="25"/>
      <c r="D89" s="58"/>
      <c r="E89" s="38"/>
      <c r="F89" s="25"/>
      <c r="G89" s="58"/>
      <c r="H89" s="38"/>
      <c r="I89" s="25"/>
      <c r="J89" s="58"/>
      <c r="K89" s="38"/>
      <c r="L89" s="50"/>
      <c r="M89" s="25"/>
      <c r="N89" s="58"/>
      <c r="O89" s="38"/>
      <c r="P89" s="25"/>
      <c r="Q89" s="58"/>
      <c r="R89" s="38"/>
      <c r="S89" s="25"/>
      <c r="T89" s="58"/>
      <c r="U89" s="38"/>
      <c r="V89" s="50"/>
    </row>
    <row r="90" spans="1:22" ht="25.5" x14ac:dyDescent="0.25">
      <c r="A90" s="23"/>
      <c r="B90" s="31" t="s">
        <v>119</v>
      </c>
      <c r="C90" s="25">
        <v>60104.27738</v>
      </c>
      <c r="D90" s="58"/>
      <c r="E90" s="38">
        <f>C90-D90</f>
        <v>60104.27738</v>
      </c>
      <c r="F90" s="25">
        <v>62975.108260000001</v>
      </c>
      <c r="G90" s="58">
        <v>0</v>
      </c>
      <c r="H90" s="38">
        <f t="shared" si="29"/>
        <v>62975.108260000001</v>
      </c>
      <c r="I90" s="25">
        <f>6014.615+8157+8690.53271+34292.7748</f>
        <v>57154.922509999997</v>
      </c>
      <c r="J90" s="58"/>
      <c r="K90" s="38">
        <f t="shared" si="30"/>
        <v>57154.922509999997</v>
      </c>
      <c r="L90" s="50">
        <f>K90/E90</f>
        <v>0.95092936811546436</v>
      </c>
      <c r="M90" s="25">
        <f>5882.59945+7914.98347+8341.43952+33351.95902</f>
        <v>55490.981460000003</v>
      </c>
      <c r="N90" s="58"/>
      <c r="O90" s="38">
        <f t="shared" si="31"/>
        <v>55490.981460000003</v>
      </c>
      <c r="P90" s="25">
        <v>61316.51</v>
      </c>
      <c r="Q90" s="58"/>
      <c r="R90" s="38">
        <f t="shared" si="32"/>
        <v>61316.51</v>
      </c>
      <c r="S90" s="25">
        <v>1514.2</v>
      </c>
      <c r="T90" s="58"/>
      <c r="U90" s="38">
        <f t="shared" si="33"/>
        <v>1514.2</v>
      </c>
      <c r="V90" s="50">
        <f>U90/E90</f>
        <v>2.5192882536906727E-2</v>
      </c>
    </row>
    <row r="91" spans="1:22" ht="25.5" x14ac:dyDescent="0.25">
      <c r="A91" s="23"/>
      <c r="B91" s="31" t="s">
        <v>120</v>
      </c>
      <c r="C91" s="25">
        <v>17678.927029999999</v>
      </c>
      <c r="D91" s="58"/>
      <c r="E91" s="38">
        <f>C91-D91</f>
        <v>17678.927029999999</v>
      </c>
      <c r="F91" s="25">
        <v>19002.73446</v>
      </c>
      <c r="G91" s="58">
        <v>0</v>
      </c>
      <c r="H91" s="38">
        <f t="shared" si="29"/>
        <v>19002.73446</v>
      </c>
      <c r="I91" s="25">
        <f>1802.42161+2429.941+2624.46729+10365.79177</f>
        <v>17222.62167</v>
      </c>
      <c r="J91" s="58"/>
      <c r="K91" s="38">
        <f t="shared" si="30"/>
        <v>17222.62167</v>
      </c>
      <c r="L91" s="50">
        <f>K91/E91</f>
        <v>0.97418930689483152</v>
      </c>
      <c r="M91" s="25">
        <f>1762.55291+2351.94651+2512.16484+10011.24912</f>
        <v>16637.913379999998</v>
      </c>
      <c r="N91" s="58"/>
      <c r="O91" s="38">
        <f t="shared" si="31"/>
        <v>16637.913379999998</v>
      </c>
      <c r="P91" s="25">
        <v>18502.59</v>
      </c>
      <c r="Q91" s="58"/>
      <c r="R91" s="38">
        <f t="shared" si="32"/>
        <v>18502.59</v>
      </c>
      <c r="S91" s="25">
        <v>25</v>
      </c>
      <c r="T91" s="58"/>
      <c r="U91" s="38">
        <f t="shared" si="33"/>
        <v>25</v>
      </c>
      <c r="V91" s="50">
        <f>U91/E91</f>
        <v>1.4141129695018602E-3</v>
      </c>
    </row>
    <row r="92" spans="1:22" ht="25.5" x14ac:dyDescent="0.25">
      <c r="A92" s="23" t="s">
        <v>121</v>
      </c>
      <c r="B92" s="31" t="s">
        <v>122</v>
      </c>
      <c r="C92" s="25">
        <v>128389.45021</v>
      </c>
      <c r="D92" s="58">
        <v>72271.142129999993</v>
      </c>
      <c r="E92" s="38">
        <f t="shared" si="0"/>
        <v>56118.308080000003</v>
      </c>
      <c r="F92" s="25">
        <v>166784.70944000001</v>
      </c>
      <c r="G92" s="58">
        <v>58507.644439999996</v>
      </c>
      <c r="H92" s="38">
        <f t="shared" si="29"/>
        <v>108277.065</v>
      </c>
      <c r="I92" s="25">
        <f>354893.60446+373.963+968.3+32947.38421</f>
        <v>389183.25166999997</v>
      </c>
      <c r="J92" s="58">
        <v>248937.71497</v>
      </c>
      <c r="K92" s="38">
        <f t="shared" si="30"/>
        <v>140245.53669999997</v>
      </c>
      <c r="L92" s="50">
        <f>K92/E92</f>
        <v>2.4991048643175695</v>
      </c>
      <c r="M92" s="25">
        <f>326153.8129+373.963+939.63711+31431.01316</f>
        <v>358898.42616999999</v>
      </c>
      <c r="N92" s="58">
        <v>226478.71205999999</v>
      </c>
      <c r="O92" s="38">
        <f t="shared" si="31"/>
        <v>132419.71411</v>
      </c>
      <c r="P92" s="25">
        <v>162724.91667000001</v>
      </c>
      <c r="Q92" s="58">
        <v>52104.466699999997</v>
      </c>
      <c r="R92" s="38">
        <f t="shared" si="32"/>
        <v>110620.44997000002</v>
      </c>
      <c r="S92" s="25">
        <v>425</v>
      </c>
      <c r="T92" s="58"/>
      <c r="U92" s="38">
        <f t="shared" si="33"/>
        <v>425</v>
      </c>
      <c r="V92" s="50">
        <f>U92/E92</f>
        <v>7.5732860547780079E-3</v>
      </c>
    </row>
    <row r="93" spans="1:22" x14ac:dyDescent="0.25">
      <c r="A93" s="51"/>
      <c r="B93" s="31" t="s">
        <v>7</v>
      </c>
      <c r="C93" s="25"/>
      <c r="D93" s="25"/>
      <c r="E93" s="38"/>
      <c r="F93" s="25"/>
      <c r="G93" s="25"/>
      <c r="H93" s="38"/>
      <c r="I93" s="25"/>
      <c r="J93" s="25"/>
      <c r="K93" s="38"/>
      <c r="L93" s="50"/>
      <c r="M93" s="25"/>
      <c r="N93" s="25"/>
      <c r="O93" s="38"/>
      <c r="P93" s="25"/>
      <c r="Q93" s="25"/>
      <c r="R93" s="38"/>
      <c r="S93" s="25"/>
      <c r="T93" s="58"/>
      <c r="U93" s="38"/>
      <c r="V93" s="50"/>
    </row>
    <row r="94" spans="1:22" ht="21" customHeight="1" x14ac:dyDescent="0.25">
      <c r="A94" s="23"/>
      <c r="B94" s="31" t="s">
        <v>106</v>
      </c>
      <c r="C94" s="25">
        <f>5435.74357</f>
        <v>5435.7435699999996</v>
      </c>
      <c r="D94" s="58">
        <f>0</f>
        <v>0</v>
      </c>
      <c r="E94" s="38">
        <f t="shared" ref="E94:E96" si="53">C94-D94</f>
        <v>5435.7435699999996</v>
      </c>
      <c r="F94" s="25">
        <v>5386.2</v>
      </c>
      <c r="G94" s="58">
        <v>0</v>
      </c>
      <c r="H94" s="38">
        <f t="shared" ref="H94:H96" si="54">F94-G94</f>
        <v>5386.2</v>
      </c>
      <c r="I94" s="25">
        <f>6865.60829</f>
        <v>6865.6082900000001</v>
      </c>
      <c r="J94" s="58"/>
      <c r="K94" s="38">
        <f t="shared" ref="K94:K96" si="55">I94-J94</f>
        <v>6865.6082900000001</v>
      </c>
      <c r="L94" s="50"/>
      <c r="M94" s="25">
        <f>1.49894+6058.3827</f>
        <v>6059.8816400000005</v>
      </c>
      <c r="N94" s="58"/>
      <c r="O94" s="38">
        <f t="shared" ref="O94:O96" si="56">M94-N94</f>
        <v>6059.8816400000005</v>
      </c>
      <c r="P94" s="25">
        <f>6088</f>
        <v>6088</v>
      </c>
      <c r="Q94" s="58"/>
      <c r="R94" s="38">
        <f t="shared" ref="R94:R96" si="57">P94-Q94</f>
        <v>6088</v>
      </c>
      <c r="S94" s="25">
        <v>258</v>
      </c>
      <c r="T94" s="58"/>
      <c r="U94" s="38">
        <f t="shared" ref="U94:U96" si="58">S94-T94</f>
        <v>258</v>
      </c>
      <c r="V94" s="50"/>
    </row>
    <row r="95" spans="1:22" ht="25.5" x14ac:dyDescent="0.25">
      <c r="A95" s="23"/>
      <c r="B95" s="31" t="s">
        <v>83</v>
      </c>
      <c r="C95" s="25">
        <v>53667.806600000004</v>
      </c>
      <c r="D95" s="58">
        <f>28888.99251</f>
        <v>28888.99251</v>
      </c>
      <c r="E95" s="38">
        <f t="shared" si="53"/>
        <v>24778.814090000003</v>
      </c>
      <c r="F95" s="25">
        <v>126253.57313999999</v>
      </c>
      <c r="G95" s="58">
        <v>55540.707439999998</v>
      </c>
      <c r="H95" s="38">
        <f t="shared" si="54"/>
        <v>70712.865699999995</v>
      </c>
      <c r="I95" s="25">
        <f>6147.01138</f>
        <v>6147.0113799999999</v>
      </c>
      <c r="J95" s="58"/>
      <c r="K95" s="38">
        <f t="shared" si="55"/>
        <v>6147.0113799999999</v>
      </c>
      <c r="L95" s="50">
        <f t="shared" ref="L95:L100" si="59">K95/E95</f>
        <v>0.24807528551097011</v>
      </c>
      <c r="M95" s="25">
        <f>195129.38551+6020.49415</f>
        <v>201149.87966000001</v>
      </c>
      <c r="N95" s="58">
        <f>130351.76211</f>
        <v>130351.76211</v>
      </c>
      <c r="O95" s="38">
        <f t="shared" si="56"/>
        <v>70798.11755000001</v>
      </c>
      <c r="P95" s="25">
        <f>2499</f>
        <v>2499</v>
      </c>
      <c r="Q95" s="58"/>
      <c r="R95" s="38">
        <f t="shared" si="57"/>
        <v>2499</v>
      </c>
      <c r="S95" s="25">
        <v>25</v>
      </c>
      <c r="T95" s="58"/>
      <c r="U95" s="38">
        <f t="shared" si="58"/>
        <v>25</v>
      </c>
      <c r="V95" s="50">
        <f t="shared" ref="V95:V100" si="60">U95/E95</f>
        <v>1.0089264122647929E-3</v>
      </c>
    </row>
    <row r="96" spans="1:22" ht="25.5" x14ac:dyDescent="0.25">
      <c r="A96" s="23"/>
      <c r="B96" s="31" t="s">
        <v>84</v>
      </c>
      <c r="C96" s="25">
        <f>6557.7969</f>
        <v>6557.7969000000003</v>
      </c>
      <c r="D96" s="58">
        <f>2503.94207</f>
        <v>2503.9420700000001</v>
      </c>
      <c r="E96" s="38">
        <f t="shared" si="53"/>
        <v>4053.8548300000002</v>
      </c>
      <c r="F96" s="25">
        <v>7452.3</v>
      </c>
      <c r="G96" s="58">
        <v>0</v>
      </c>
      <c r="H96" s="38">
        <f t="shared" si="54"/>
        <v>7452.3</v>
      </c>
      <c r="I96" s="25">
        <f>9671.691</f>
        <v>9671.6910000000007</v>
      </c>
      <c r="J96" s="58"/>
      <c r="K96" s="38">
        <f t="shared" si="55"/>
        <v>9671.6910000000007</v>
      </c>
      <c r="L96" s="50">
        <f t="shared" si="59"/>
        <v>2.3858010228748125</v>
      </c>
      <c r="M96" s="25">
        <f>9443.56402+9671.691</f>
        <v>19115.255020000001</v>
      </c>
      <c r="N96" s="58"/>
      <c r="O96" s="38">
        <f t="shared" si="56"/>
        <v>19115.255020000001</v>
      </c>
      <c r="P96" s="25">
        <f>1011</f>
        <v>1011</v>
      </c>
      <c r="Q96" s="58"/>
      <c r="R96" s="38">
        <f t="shared" si="57"/>
        <v>1011</v>
      </c>
      <c r="S96" s="25">
        <v>3</v>
      </c>
      <c r="T96" s="58"/>
      <c r="U96" s="38">
        <f t="shared" si="58"/>
        <v>3</v>
      </c>
      <c r="V96" s="50">
        <f t="shared" si="60"/>
        <v>7.4003636681780238E-4</v>
      </c>
    </row>
    <row r="97" spans="1:22" ht="25.5" x14ac:dyDescent="0.25">
      <c r="A97" s="23" t="s">
        <v>123</v>
      </c>
      <c r="B97" s="31" t="s">
        <v>124</v>
      </c>
      <c r="C97" s="25">
        <v>402.9966</v>
      </c>
      <c r="D97" s="58">
        <v>0</v>
      </c>
      <c r="E97" s="38">
        <f t="shared" si="0"/>
        <v>402.9966</v>
      </c>
      <c r="F97" s="25">
        <v>50</v>
      </c>
      <c r="G97" s="58">
        <v>0</v>
      </c>
      <c r="H97" s="38">
        <f t="shared" si="29"/>
        <v>50</v>
      </c>
      <c r="I97" s="25">
        <f>42+969.04283</f>
        <v>1011.04283</v>
      </c>
      <c r="J97" s="58"/>
      <c r="K97" s="38">
        <f t="shared" si="30"/>
        <v>1011.04283</v>
      </c>
      <c r="L97" s="50">
        <f t="shared" si="59"/>
        <v>2.5088123075976321</v>
      </c>
      <c r="M97" s="25">
        <f>28.0121+969.04283</f>
        <v>997.05493000000001</v>
      </c>
      <c r="N97" s="58"/>
      <c r="O97" s="38">
        <f t="shared" si="31"/>
        <v>997.05493000000001</v>
      </c>
      <c r="P97" s="25">
        <v>122.6</v>
      </c>
      <c r="Q97" s="58"/>
      <c r="R97" s="38">
        <f t="shared" si="32"/>
        <v>122.6</v>
      </c>
      <c r="S97" s="25">
        <v>0</v>
      </c>
      <c r="T97" s="58"/>
      <c r="U97" s="38">
        <f t="shared" si="33"/>
        <v>0</v>
      </c>
      <c r="V97" s="50">
        <f t="shared" si="60"/>
        <v>0</v>
      </c>
    </row>
    <row r="98" spans="1:22" ht="25.5" x14ac:dyDescent="0.25">
      <c r="A98" s="23" t="s">
        <v>125</v>
      </c>
      <c r="B98" s="31" t="s">
        <v>126</v>
      </c>
      <c r="C98" s="25">
        <v>2020.078</v>
      </c>
      <c r="D98" s="58">
        <v>0</v>
      </c>
      <c r="E98" s="38">
        <f t="shared" si="0"/>
        <v>2020.078</v>
      </c>
      <c r="F98" s="25">
        <v>0</v>
      </c>
      <c r="G98" s="58">
        <v>0</v>
      </c>
      <c r="H98" s="38">
        <f t="shared" si="29"/>
        <v>0</v>
      </c>
      <c r="I98" s="25"/>
      <c r="J98" s="58"/>
      <c r="K98" s="38">
        <f t="shared" si="30"/>
        <v>0</v>
      </c>
      <c r="L98" s="50">
        <f t="shared" si="59"/>
        <v>0</v>
      </c>
      <c r="M98" s="25"/>
      <c r="N98" s="58"/>
      <c r="O98" s="38">
        <f t="shared" si="31"/>
        <v>0</v>
      </c>
      <c r="P98" s="25">
        <v>14228.4</v>
      </c>
      <c r="Q98" s="58"/>
      <c r="R98" s="38">
        <f t="shared" si="32"/>
        <v>14228.4</v>
      </c>
      <c r="S98" s="25"/>
      <c r="T98" s="58"/>
      <c r="U98" s="38">
        <f t="shared" si="33"/>
        <v>0</v>
      </c>
      <c r="V98" s="50">
        <f t="shared" si="60"/>
        <v>0</v>
      </c>
    </row>
    <row r="99" spans="1:22" x14ac:dyDescent="0.25">
      <c r="A99" s="23" t="s">
        <v>127</v>
      </c>
      <c r="B99" s="31" t="s">
        <v>90</v>
      </c>
      <c r="C99" s="25"/>
      <c r="D99" s="58"/>
      <c r="E99" s="38">
        <f t="shared" si="0"/>
        <v>0</v>
      </c>
      <c r="F99" s="25"/>
      <c r="G99" s="58"/>
      <c r="H99" s="38">
        <f t="shared" si="29"/>
        <v>0</v>
      </c>
      <c r="I99" s="25"/>
      <c r="J99" s="58"/>
      <c r="K99" s="38">
        <f t="shared" si="30"/>
        <v>0</v>
      </c>
      <c r="L99" s="50" t="e">
        <f t="shared" si="59"/>
        <v>#DIV/0!</v>
      </c>
      <c r="M99" s="25"/>
      <c r="N99" s="58"/>
      <c r="O99" s="38">
        <f t="shared" si="31"/>
        <v>0</v>
      </c>
      <c r="P99" s="25"/>
      <c r="Q99" s="58"/>
      <c r="R99" s="38">
        <f t="shared" si="32"/>
        <v>0</v>
      </c>
      <c r="S99" s="25"/>
      <c r="T99" s="58"/>
      <c r="U99" s="38">
        <f t="shared" si="33"/>
        <v>0</v>
      </c>
      <c r="V99" s="50" t="e">
        <f t="shared" si="60"/>
        <v>#DIV/0!</v>
      </c>
    </row>
    <row r="100" spans="1:22" x14ac:dyDescent="0.25">
      <c r="A100" s="23" t="s">
        <v>128</v>
      </c>
      <c r="B100" s="31" t="s">
        <v>129</v>
      </c>
      <c r="C100" s="25">
        <f>C102+C103+C104</f>
        <v>29988.860400000001</v>
      </c>
      <c r="D100" s="70">
        <f>D102+D103+D104</f>
        <v>0</v>
      </c>
      <c r="E100" s="38">
        <f t="shared" si="0"/>
        <v>29988.860400000001</v>
      </c>
      <c r="F100" s="25">
        <v>29413.200000000001</v>
      </c>
      <c r="G100" s="70">
        <v>166.9</v>
      </c>
      <c r="H100" s="38">
        <f t="shared" si="29"/>
        <v>29246.3</v>
      </c>
      <c r="I100" s="25">
        <f>I102+I103+I104</f>
        <v>20198.178390000001</v>
      </c>
      <c r="J100" s="25">
        <f>J102+J103+J104</f>
        <v>0</v>
      </c>
      <c r="K100" s="38">
        <f t="shared" si="30"/>
        <v>20198.178390000001</v>
      </c>
      <c r="L100" s="50">
        <f t="shared" si="59"/>
        <v>0.67352270545098802</v>
      </c>
      <c r="M100" s="25">
        <f>M102+M103+M104</f>
        <v>20185.1823</v>
      </c>
      <c r="N100" s="70"/>
      <c r="O100" s="38">
        <f t="shared" si="31"/>
        <v>20185.1823</v>
      </c>
      <c r="P100" s="25">
        <f>P102+P103+P104</f>
        <v>662.7</v>
      </c>
      <c r="Q100" s="70"/>
      <c r="R100" s="38">
        <f t="shared" si="32"/>
        <v>662.7</v>
      </c>
      <c r="S100" s="25">
        <f>S102+S103+S104</f>
        <v>0</v>
      </c>
      <c r="T100" s="58">
        <f t="shared" ref="T100" si="61">J100</f>
        <v>0</v>
      </c>
      <c r="U100" s="38">
        <f t="shared" si="33"/>
        <v>0</v>
      </c>
      <c r="V100" s="50">
        <f t="shared" si="60"/>
        <v>0</v>
      </c>
    </row>
    <row r="101" spans="1:22" x14ac:dyDescent="0.25">
      <c r="A101" s="23"/>
      <c r="B101" s="31" t="s">
        <v>17</v>
      </c>
      <c r="C101" s="25"/>
      <c r="D101" s="70"/>
      <c r="E101" s="38"/>
      <c r="F101" s="25"/>
      <c r="G101" s="70"/>
      <c r="H101" s="38"/>
      <c r="I101" s="25"/>
      <c r="J101" s="70"/>
      <c r="K101" s="38"/>
      <c r="L101" s="50"/>
      <c r="M101" s="25"/>
      <c r="N101" s="70"/>
      <c r="O101" s="38"/>
      <c r="P101" s="25"/>
      <c r="Q101" s="70"/>
      <c r="R101" s="38"/>
      <c r="S101" s="25"/>
      <c r="T101" s="58"/>
      <c r="U101" s="38"/>
      <c r="V101" s="50"/>
    </row>
    <row r="102" spans="1:22" ht="76.5" x14ac:dyDescent="0.25">
      <c r="A102" s="23"/>
      <c r="B102" s="31" t="s">
        <v>130</v>
      </c>
      <c r="C102" s="25">
        <v>29210.085470000002</v>
      </c>
      <c r="D102" s="70">
        <v>0</v>
      </c>
      <c r="E102" s="38">
        <f t="shared" ref="E102:E105" si="62">C102-D102</f>
        <v>29210.085470000002</v>
      </c>
      <c r="F102" s="25">
        <v>28600.5</v>
      </c>
      <c r="G102" s="70">
        <v>166.9</v>
      </c>
      <c r="H102" s="38">
        <f t="shared" ref="H102:H104" si="63">F102-G102</f>
        <v>28433.599999999999</v>
      </c>
      <c r="I102" s="25">
        <f>19445.47839</f>
        <v>19445.47839</v>
      </c>
      <c r="J102" s="70"/>
      <c r="K102" s="38">
        <f t="shared" ref="K102:K104" si="64">I102-J102</f>
        <v>19445.47839</v>
      </c>
      <c r="L102" s="50">
        <f>K102/E102</f>
        <v>0.66571110892405061</v>
      </c>
      <c r="M102" s="25">
        <f>19445.47739</f>
        <v>19445.47739</v>
      </c>
      <c r="N102" s="70"/>
      <c r="O102" s="38">
        <f t="shared" ref="O102:O104" si="65">M102-N102</f>
        <v>19445.47739</v>
      </c>
      <c r="P102" s="25"/>
      <c r="Q102" s="70"/>
      <c r="R102" s="38">
        <f t="shared" ref="R102:R104" si="66">P102-Q102</f>
        <v>0</v>
      </c>
      <c r="S102" s="25">
        <v>0</v>
      </c>
      <c r="T102" s="58"/>
      <c r="U102" s="38">
        <f t="shared" ref="U102:U104" si="67">S102-T102</f>
        <v>0</v>
      </c>
      <c r="V102" s="50">
        <f>U102/E102</f>
        <v>0</v>
      </c>
    </row>
    <row r="103" spans="1:22" ht="25.5" x14ac:dyDescent="0.25">
      <c r="A103" s="23"/>
      <c r="B103" s="31" t="s">
        <v>131</v>
      </c>
      <c r="C103" s="25">
        <v>188.4522</v>
      </c>
      <c r="D103" s="70">
        <v>0</v>
      </c>
      <c r="E103" s="38">
        <f t="shared" si="62"/>
        <v>188.4522</v>
      </c>
      <c r="F103" s="25">
        <v>150</v>
      </c>
      <c r="G103" s="70">
        <v>0</v>
      </c>
      <c r="H103" s="38">
        <f t="shared" si="63"/>
        <v>150</v>
      </c>
      <c r="I103" s="25">
        <f>150</f>
        <v>150</v>
      </c>
      <c r="J103" s="70"/>
      <c r="K103" s="38">
        <f t="shared" si="64"/>
        <v>150</v>
      </c>
      <c r="L103" s="50">
        <f>K103/E103</f>
        <v>0.79595780786852044</v>
      </c>
      <c r="M103" s="25">
        <f>150</f>
        <v>150</v>
      </c>
      <c r="N103" s="70"/>
      <c r="O103" s="38">
        <f t="shared" si="65"/>
        <v>150</v>
      </c>
      <c r="P103" s="25"/>
      <c r="Q103" s="70"/>
      <c r="R103" s="38">
        <f t="shared" si="66"/>
        <v>0</v>
      </c>
      <c r="S103" s="25">
        <v>0</v>
      </c>
      <c r="T103" s="58"/>
      <c r="U103" s="38">
        <f t="shared" si="67"/>
        <v>0</v>
      </c>
      <c r="V103" s="50">
        <f>U103/E103</f>
        <v>0</v>
      </c>
    </row>
    <row r="104" spans="1:22" ht="25.5" x14ac:dyDescent="0.25">
      <c r="A104" s="23"/>
      <c r="B104" s="31" t="s">
        <v>132</v>
      </c>
      <c r="C104" s="25">
        <v>590.32272999999998</v>
      </c>
      <c r="D104" s="70">
        <v>0</v>
      </c>
      <c r="E104" s="38">
        <f t="shared" si="62"/>
        <v>590.32272999999998</v>
      </c>
      <c r="F104" s="25">
        <v>662.7</v>
      </c>
      <c r="G104" s="70">
        <v>0</v>
      </c>
      <c r="H104" s="38">
        <f t="shared" si="63"/>
        <v>662.7</v>
      </c>
      <c r="I104" s="25">
        <f>7+595.7</f>
        <v>602.70000000000005</v>
      </c>
      <c r="J104" s="70"/>
      <c r="K104" s="38">
        <f t="shared" si="64"/>
        <v>602.70000000000005</v>
      </c>
      <c r="L104" s="50">
        <f>K104/E104</f>
        <v>1.0209669548045357</v>
      </c>
      <c r="M104" s="25">
        <f>5.52106+584.18385</f>
        <v>589.70491000000004</v>
      </c>
      <c r="N104" s="70"/>
      <c r="O104" s="38">
        <f t="shared" si="65"/>
        <v>589.70491000000004</v>
      </c>
      <c r="P104" s="25">
        <v>662.7</v>
      </c>
      <c r="Q104" s="70"/>
      <c r="R104" s="38">
        <f t="shared" si="66"/>
        <v>662.7</v>
      </c>
      <c r="S104" s="25">
        <v>0</v>
      </c>
      <c r="T104" s="58"/>
      <c r="U104" s="38">
        <f t="shared" si="67"/>
        <v>0</v>
      </c>
      <c r="V104" s="50">
        <f>U104/E104</f>
        <v>0</v>
      </c>
    </row>
    <row r="105" spans="1:22" x14ac:dyDescent="0.25">
      <c r="A105" s="72"/>
      <c r="B105" s="11" t="s">
        <v>133</v>
      </c>
      <c r="C105" s="73">
        <f>C51</f>
        <v>2657311.2422799999</v>
      </c>
      <c r="D105" s="73">
        <f t="shared" ref="D105" si="68">D51</f>
        <v>1530265.3523300001</v>
      </c>
      <c r="E105" s="12">
        <f t="shared" si="62"/>
        <v>1127045.8899499997</v>
      </c>
      <c r="F105" s="73">
        <f>F51</f>
        <v>3154742.84767</v>
      </c>
      <c r="G105" s="73">
        <f t="shared" ref="G105" si="69">G51</f>
        <v>1871812.6376100001</v>
      </c>
      <c r="H105" s="12">
        <f t="shared" si="29"/>
        <v>1282930.21006</v>
      </c>
      <c r="I105" s="73">
        <f>I51</f>
        <v>3531328.2773699998</v>
      </c>
      <c r="J105" s="73">
        <f t="shared" ref="J105" si="70">J51</f>
        <v>2090601.0038900003</v>
      </c>
      <c r="K105" s="12">
        <f t="shared" si="30"/>
        <v>1440727.2734799995</v>
      </c>
      <c r="L105" s="13">
        <f>K105/E105</f>
        <v>1.2783217492092678</v>
      </c>
      <c r="M105" s="73">
        <f>M51</f>
        <v>3333718.34002</v>
      </c>
      <c r="N105" s="73">
        <f t="shared" ref="N105" si="71">N51</f>
        <v>1951982.21104</v>
      </c>
      <c r="O105" s="12">
        <f t="shared" si="31"/>
        <v>1381736.12898</v>
      </c>
      <c r="P105" s="73">
        <f>P51</f>
        <v>3147176.2886099997</v>
      </c>
      <c r="Q105" s="73">
        <f t="shared" ref="Q105" si="72">Q51</f>
        <v>1741913.7386700001</v>
      </c>
      <c r="R105" s="12">
        <f t="shared" si="32"/>
        <v>1405262.5499399996</v>
      </c>
      <c r="S105" s="73">
        <f>S51</f>
        <v>45097.743999999999</v>
      </c>
      <c r="T105" s="73">
        <f t="shared" ref="T105" si="73">T51</f>
        <v>32450.9</v>
      </c>
      <c r="U105" s="12">
        <f t="shared" si="33"/>
        <v>12646.843999999997</v>
      </c>
      <c r="V105" s="13">
        <f>U105/E105</f>
        <v>1.1221232527240804E-2</v>
      </c>
    </row>
    <row r="106" spans="1:22" x14ac:dyDescent="0.25">
      <c r="A106" s="40"/>
      <c r="B106" s="74" t="s">
        <v>134</v>
      </c>
      <c r="C106" s="75">
        <f t="shared" ref="C106:E106" si="74">C50-C51</f>
        <v>-2563.2885300000198</v>
      </c>
      <c r="D106" s="75">
        <f t="shared" si="74"/>
        <v>2812.576159999473</v>
      </c>
      <c r="E106" s="75">
        <f t="shared" si="74"/>
        <v>-5375.8646899994928</v>
      </c>
      <c r="F106" s="75">
        <f>F50-F51</f>
        <v>-87200.000059999991</v>
      </c>
      <c r="G106" s="75">
        <f>G50-G51</f>
        <v>0</v>
      </c>
      <c r="H106" s="75">
        <f>H50-H51</f>
        <v>-87200.000059999758</v>
      </c>
      <c r="I106" s="75">
        <f>I50-I51</f>
        <v>-152978.99121999973</v>
      </c>
      <c r="J106" s="75">
        <f t="shared" ref="J106:K106" si="75">J50-J51</f>
        <v>-75810.676510000136</v>
      </c>
      <c r="K106" s="75">
        <f t="shared" si="75"/>
        <v>-77168.314709999599</v>
      </c>
      <c r="L106" s="75"/>
      <c r="M106" s="75">
        <f t="shared" ref="M106:T106" si="76">M50-M51</f>
        <v>39387.264939999674</v>
      </c>
      <c r="N106" s="75">
        <f t="shared" si="76"/>
        <v>2574.4233500002883</v>
      </c>
      <c r="O106" s="75">
        <f>M106-N106</f>
        <v>36812.841589999385</v>
      </c>
      <c r="P106" s="75">
        <f t="shared" si="76"/>
        <v>-98315.706969999708</v>
      </c>
      <c r="Q106" s="75">
        <f t="shared" si="76"/>
        <v>-0.32003000006079674</v>
      </c>
      <c r="R106" s="75">
        <f>P106-Q106</f>
        <v>-98315.386939999647</v>
      </c>
      <c r="S106" s="75">
        <f t="shared" si="76"/>
        <v>34283.507909999993</v>
      </c>
      <c r="T106" s="75">
        <f t="shared" si="76"/>
        <v>11465.495699999999</v>
      </c>
      <c r="U106" s="75">
        <f>S106-T106</f>
        <v>22818.012209999994</v>
      </c>
      <c r="V106" s="18"/>
    </row>
    <row r="107" spans="1:22" s="150" customFormat="1" ht="22.5" x14ac:dyDescent="0.25">
      <c r="A107" s="156"/>
      <c r="B107" s="157" t="s">
        <v>135</v>
      </c>
      <c r="C107" s="76">
        <v>-2563.2618299999999</v>
      </c>
      <c r="D107" s="76">
        <v>2812.5761600000001</v>
      </c>
      <c r="E107" s="76"/>
      <c r="F107" s="77"/>
      <c r="G107" s="77"/>
      <c r="H107" s="77"/>
      <c r="I107" s="78">
        <v>-80720.991219999996</v>
      </c>
      <c r="J107" s="79">
        <v>-74611.176510000005</v>
      </c>
      <c r="K107" s="160">
        <f>I107-J107</f>
        <v>-6109.8147099999915</v>
      </c>
      <c r="L107" s="80"/>
      <c r="M107" s="76">
        <v>39387.264940000001</v>
      </c>
      <c r="N107" s="76">
        <v>2574.42335</v>
      </c>
      <c r="O107" s="160">
        <f>M107-N107</f>
        <v>36812.841590000004</v>
      </c>
      <c r="P107" s="76"/>
      <c r="Q107" s="76"/>
      <c r="R107" s="76"/>
      <c r="S107" s="76"/>
      <c r="T107" s="76"/>
      <c r="U107" s="76"/>
      <c r="V107" s="80"/>
    </row>
    <row r="108" spans="1:22" ht="26.25" x14ac:dyDescent="0.25">
      <c r="A108" s="14" t="s">
        <v>136</v>
      </c>
      <c r="B108" s="81" t="s">
        <v>137</v>
      </c>
      <c r="C108" s="82">
        <f>C110+C111+C116+C119</f>
        <v>2563.2885300000198</v>
      </c>
      <c r="D108" s="82" t="s">
        <v>138</v>
      </c>
      <c r="E108" s="83" t="s">
        <v>138</v>
      </c>
      <c r="F108" s="84">
        <f>F110+F111+F116+F119</f>
        <v>87200.000059999991</v>
      </c>
      <c r="G108" s="82" t="s">
        <v>138</v>
      </c>
      <c r="H108" s="82" t="s">
        <v>138</v>
      </c>
      <c r="I108" s="84">
        <f>I110+I111+I116+I119</f>
        <v>152978.99121999973</v>
      </c>
      <c r="J108" s="82" t="s">
        <v>138</v>
      </c>
      <c r="K108" s="82" t="s">
        <v>138</v>
      </c>
      <c r="L108" s="18"/>
      <c r="M108" s="82">
        <f>M110+M111+M116+M119</f>
        <v>-39387.264939999674</v>
      </c>
      <c r="N108" s="82" t="s">
        <v>138</v>
      </c>
      <c r="O108" s="82" t="s">
        <v>138</v>
      </c>
      <c r="P108" s="82">
        <f>P110+P111+P116+P119</f>
        <v>98315.706969999708</v>
      </c>
      <c r="Q108" s="85" t="s">
        <v>138</v>
      </c>
      <c r="R108" s="85" t="s">
        <v>138</v>
      </c>
      <c r="S108" s="82">
        <f>S110+S111+S116+S119</f>
        <v>-34283.507909999986</v>
      </c>
      <c r="T108" s="82" t="s">
        <v>138</v>
      </c>
      <c r="U108" s="82" t="s">
        <v>138</v>
      </c>
      <c r="V108" s="18"/>
    </row>
    <row r="109" spans="1:22" x14ac:dyDescent="0.25">
      <c r="A109" s="14"/>
      <c r="B109" s="24" t="s">
        <v>17</v>
      </c>
      <c r="C109" s="82"/>
      <c r="D109" s="82"/>
      <c r="E109" s="83"/>
      <c r="F109" s="86"/>
      <c r="G109" s="82"/>
      <c r="H109" s="82"/>
      <c r="I109" s="86"/>
      <c r="J109" s="82"/>
      <c r="K109" s="82"/>
      <c r="L109" s="18"/>
      <c r="M109" s="86"/>
      <c r="N109" s="82"/>
      <c r="O109" s="82"/>
      <c r="P109" s="86"/>
      <c r="Q109" s="86"/>
      <c r="R109" s="86"/>
      <c r="S109" s="86"/>
      <c r="T109" s="82"/>
      <c r="U109" s="82"/>
      <c r="V109" s="18"/>
    </row>
    <row r="110" spans="1:22" x14ac:dyDescent="0.25">
      <c r="A110" s="14" t="s">
        <v>139</v>
      </c>
      <c r="B110" s="81" t="s">
        <v>140</v>
      </c>
      <c r="C110" s="82">
        <f>C105-C50-C116-C111-C119</f>
        <v>-103355.03638999998</v>
      </c>
      <c r="D110" s="82" t="s">
        <v>138</v>
      </c>
      <c r="E110" s="83" t="s">
        <v>138</v>
      </c>
      <c r="F110" s="84">
        <f>F105-F50-F116-F111-F119</f>
        <v>5.9999991208314896E-5</v>
      </c>
      <c r="G110" s="84" t="s">
        <v>138</v>
      </c>
      <c r="H110" s="84" t="s">
        <v>138</v>
      </c>
      <c r="I110" s="84">
        <f>I105-I50-I116-I111-I119</f>
        <v>124874.99121999973</v>
      </c>
      <c r="J110" s="82" t="s">
        <v>138</v>
      </c>
      <c r="K110" s="82" t="s">
        <v>138</v>
      </c>
      <c r="L110" s="18"/>
      <c r="M110" s="82">
        <f>M105-M50-M116-M111-M119</f>
        <v>-406641.09953999968</v>
      </c>
      <c r="N110" s="82" t="s">
        <v>138</v>
      </c>
      <c r="O110" s="82" t="s">
        <v>138</v>
      </c>
      <c r="P110" s="82">
        <f>P105-P50-P116-P111-P119</f>
        <v>-2.9103830456733704E-10</v>
      </c>
      <c r="Q110" s="82" t="s">
        <v>138</v>
      </c>
      <c r="R110" s="82" t="s">
        <v>138</v>
      </c>
      <c r="S110" s="82">
        <f>S105-S50-S116-S111-S119</f>
        <v>180930.49209000001</v>
      </c>
      <c r="T110" s="82" t="s">
        <v>138</v>
      </c>
      <c r="U110" s="82" t="s">
        <v>138</v>
      </c>
      <c r="V110" s="18"/>
    </row>
    <row r="111" spans="1:22" ht="26.25" x14ac:dyDescent="0.25">
      <c r="A111" s="14" t="s">
        <v>141</v>
      </c>
      <c r="B111" s="81" t="s">
        <v>142</v>
      </c>
      <c r="C111" s="82">
        <f>C112+C113+C114+C115</f>
        <v>-13580</v>
      </c>
      <c r="D111" s="82" t="s">
        <v>138</v>
      </c>
      <c r="E111" s="83" t="s">
        <v>138</v>
      </c>
      <c r="F111" s="82">
        <f>F112+F113+F114+F115</f>
        <v>-29580</v>
      </c>
      <c r="G111" s="82" t="s">
        <v>138</v>
      </c>
      <c r="H111" s="82" t="s">
        <v>138</v>
      </c>
      <c r="I111" s="82">
        <f>I112+I113+I114+I115</f>
        <v>-13580</v>
      </c>
      <c r="J111" s="82" t="s">
        <v>138</v>
      </c>
      <c r="K111" s="82" t="s">
        <v>138</v>
      </c>
      <c r="L111" s="18"/>
      <c r="M111" s="82">
        <f>M112+M113+M114+M115</f>
        <v>-13580</v>
      </c>
      <c r="N111" s="82" t="s">
        <v>138</v>
      </c>
      <c r="O111" s="82" t="s">
        <v>138</v>
      </c>
      <c r="P111" s="82">
        <f>P112+P113+P114+P115</f>
        <v>-38510</v>
      </c>
      <c r="Q111" s="82" t="s">
        <v>138</v>
      </c>
      <c r="R111" s="82" t="s">
        <v>138</v>
      </c>
      <c r="S111" s="82">
        <f>S112+S113+S114+S115</f>
        <v>0</v>
      </c>
      <c r="T111" s="82" t="s">
        <v>138</v>
      </c>
      <c r="U111" s="82" t="s">
        <v>138</v>
      </c>
      <c r="V111" s="18"/>
    </row>
    <row r="112" spans="1:22" x14ac:dyDescent="0.25">
      <c r="A112" s="14"/>
      <c r="B112" s="24" t="s">
        <v>143</v>
      </c>
      <c r="C112" s="87">
        <v>0</v>
      </c>
      <c r="D112" s="82" t="s">
        <v>138</v>
      </c>
      <c r="E112" s="83" t="s">
        <v>138</v>
      </c>
      <c r="F112" s="87"/>
      <c r="G112" s="82" t="s">
        <v>138</v>
      </c>
      <c r="H112" s="82" t="s">
        <v>138</v>
      </c>
      <c r="I112" s="87"/>
      <c r="J112" s="82" t="s">
        <v>138</v>
      </c>
      <c r="K112" s="82" t="s">
        <v>138</v>
      </c>
      <c r="L112" s="18"/>
      <c r="M112" s="87"/>
      <c r="N112" s="82" t="s">
        <v>138</v>
      </c>
      <c r="O112" s="82" t="s">
        <v>138</v>
      </c>
      <c r="P112" s="87"/>
      <c r="Q112" s="82" t="s">
        <v>138</v>
      </c>
      <c r="R112" s="82" t="s">
        <v>138</v>
      </c>
      <c r="S112" s="87"/>
      <c r="T112" s="82" t="s">
        <v>138</v>
      </c>
      <c r="U112" s="82" t="s">
        <v>138</v>
      </c>
      <c r="V112" s="18"/>
    </row>
    <row r="113" spans="1:22" ht="26.25" x14ac:dyDescent="0.25">
      <c r="A113" s="14"/>
      <c r="B113" s="24" t="s">
        <v>144</v>
      </c>
      <c r="C113" s="87">
        <v>0</v>
      </c>
      <c r="D113" s="82" t="s">
        <v>138</v>
      </c>
      <c r="E113" s="83" t="s">
        <v>138</v>
      </c>
      <c r="F113" s="87"/>
      <c r="G113" s="82" t="s">
        <v>138</v>
      </c>
      <c r="H113" s="82" t="s">
        <v>138</v>
      </c>
      <c r="I113" s="87"/>
      <c r="J113" s="82" t="s">
        <v>138</v>
      </c>
      <c r="K113" s="82" t="s">
        <v>138</v>
      </c>
      <c r="L113" s="18"/>
      <c r="M113" s="87"/>
      <c r="N113" s="82" t="s">
        <v>138</v>
      </c>
      <c r="O113" s="82" t="s">
        <v>138</v>
      </c>
      <c r="P113" s="87"/>
      <c r="Q113" s="82" t="s">
        <v>138</v>
      </c>
      <c r="R113" s="82" t="s">
        <v>138</v>
      </c>
      <c r="S113" s="87"/>
      <c r="T113" s="82" t="s">
        <v>138</v>
      </c>
      <c r="U113" s="82" t="s">
        <v>138</v>
      </c>
      <c r="V113" s="18"/>
    </row>
    <row r="114" spans="1:22" x14ac:dyDescent="0.25">
      <c r="A114" s="14"/>
      <c r="B114" s="24" t="s">
        <v>145</v>
      </c>
      <c r="C114" s="87">
        <v>-13580</v>
      </c>
      <c r="D114" s="82" t="s">
        <v>138</v>
      </c>
      <c r="E114" s="83" t="s">
        <v>138</v>
      </c>
      <c r="F114" s="87">
        <v>-29580</v>
      </c>
      <c r="G114" s="82" t="s">
        <v>138</v>
      </c>
      <c r="H114" s="82" t="s">
        <v>138</v>
      </c>
      <c r="I114" s="87">
        <v>-13580</v>
      </c>
      <c r="J114" s="82" t="s">
        <v>138</v>
      </c>
      <c r="K114" s="82" t="s">
        <v>138</v>
      </c>
      <c r="L114" s="18"/>
      <c r="M114" s="87">
        <v>-13580</v>
      </c>
      <c r="N114" s="82" t="s">
        <v>138</v>
      </c>
      <c r="O114" s="82" t="s">
        <v>138</v>
      </c>
      <c r="P114" s="87">
        <v>-38510</v>
      </c>
      <c r="Q114" s="82" t="s">
        <v>138</v>
      </c>
      <c r="R114" s="82" t="s">
        <v>138</v>
      </c>
      <c r="S114" s="87">
        <v>0</v>
      </c>
      <c r="T114" s="82" t="s">
        <v>138</v>
      </c>
      <c r="U114" s="82" t="s">
        <v>138</v>
      </c>
      <c r="V114" s="18"/>
    </row>
    <row r="115" spans="1:22" ht="26.25" x14ac:dyDescent="0.25">
      <c r="A115" s="14"/>
      <c r="B115" s="24" t="s">
        <v>146</v>
      </c>
      <c r="C115" s="87">
        <v>0</v>
      </c>
      <c r="D115" s="82" t="s">
        <v>138</v>
      </c>
      <c r="E115" s="83" t="s">
        <v>138</v>
      </c>
      <c r="F115" s="87"/>
      <c r="G115" s="82" t="s">
        <v>138</v>
      </c>
      <c r="H115" s="82" t="s">
        <v>138</v>
      </c>
      <c r="I115" s="87"/>
      <c r="J115" s="82" t="s">
        <v>138</v>
      </c>
      <c r="K115" s="82" t="s">
        <v>138</v>
      </c>
      <c r="L115" s="18"/>
      <c r="M115" s="87"/>
      <c r="N115" s="82" t="s">
        <v>138</v>
      </c>
      <c r="O115" s="82" t="s">
        <v>138</v>
      </c>
      <c r="P115" s="87"/>
      <c r="Q115" s="82" t="s">
        <v>138</v>
      </c>
      <c r="R115" s="82" t="s">
        <v>138</v>
      </c>
      <c r="S115" s="87"/>
      <c r="T115" s="82" t="s">
        <v>138</v>
      </c>
      <c r="U115" s="82" t="s">
        <v>138</v>
      </c>
      <c r="V115" s="18"/>
    </row>
    <row r="116" spans="1:22" x14ac:dyDescent="0.25">
      <c r="A116" s="14" t="s">
        <v>147</v>
      </c>
      <c r="B116" s="81" t="s">
        <v>148</v>
      </c>
      <c r="C116" s="82">
        <f>C117+C118</f>
        <v>0</v>
      </c>
      <c r="D116" s="82" t="s">
        <v>138</v>
      </c>
      <c r="E116" s="83" t="s">
        <v>138</v>
      </c>
      <c r="F116" s="82">
        <f t="shared" ref="F116" si="77">F117+F118</f>
        <v>116780</v>
      </c>
      <c r="G116" s="82" t="s">
        <v>138</v>
      </c>
      <c r="H116" s="82" t="s">
        <v>138</v>
      </c>
      <c r="I116" s="82">
        <f t="shared" ref="I116" si="78">I117+I118</f>
        <v>41684</v>
      </c>
      <c r="J116" s="82" t="s">
        <v>138</v>
      </c>
      <c r="K116" s="82" t="s">
        <v>138</v>
      </c>
      <c r="L116" s="18"/>
      <c r="M116" s="82">
        <f t="shared" ref="M116" si="79">M117+M118</f>
        <v>0</v>
      </c>
      <c r="N116" s="82" t="s">
        <v>138</v>
      </c>
      <c r="O116" s="82" t="s">
        <v>138</v>
      </c>
      <c r="P116" s="82">
        <f t="shared" ref="P116" si="80">P117+P118</f>
        <v>136825.70697</v>
      </c>
      <c r="Q116" s="82" t="s">
        <v>138</v>
      </c>
      <c r="R116" s="82" t="s">
        <v>138</v>
      </c>
      <c r="S116" s="82">
        <f t="shared" ref="S116" si="81">S117+S118</f>
        <v>0</v>
      </c>
      <c r="T116" s="82" t="s">
        <v>138</v>
      </c>
      <c r="U116" s="82" t="s">
        <v>138</v>
      </c>
      <c r="V116" s="18"/>
    </row>
    <row r="117" spans="1:22" x14ac:dyDescent="0.25">
      <c r="A117" s="23"/>
      <c r="B117" s="24" t="s">
        <v>149</v>
      </c>
      <c r="C117" s="87"/>
      <c r="D117" s="82" t="s">
        <v>138</v>
      </c>
      <c r="E117" s="83" t="s">
        <v>138</v>
      </c>
      <c r="F117" s="87">
        <v>116780</v>
      </c>
      <c r="G117" s="82" t="s">
        <v>138</v>
      </c>
      <c r="H117" s="82" t="s">
        <v>138</v>
      </c>
      <c r="I117" s="87">
        <v>41684</v>
      </c>
      <c r="J117" s="82" t="s">
        <v>138</v>
      </c>
      <c r="K117" s="82" t="s">
        <v>138</v>
      </c>
      <c r="L117" s="18"/>
      <c r="M117" s="87">
        <v>0</v>
      </c>
      <c r="N117" s="82" t="s">
        <v>138</v>
      </c>
      <c r="O117" s="82" t="s">
        <v>138</v>
      </c>
      <c r="P117" s="87">
        <v>136825.70697</v>
      </c>
      <c r="Q117" s="82" t="s">
        <v>138</v>
      </c>
      <c r="R117" s="82" t="s">
        <v>138</v>
      </c>
      <c r="S117" s="87">
        <v>0</v>
      </c>
      <c r="T117" s="82" t="s">
        <v>138</v>
      </c>
      <c r="U117" s="82" t="s">
        <v>138</v>
      </c>
      <c r="V117" s="18"/>
    </row>
    <row r="118" spans="1:22" x14ac:dyDescent="0.25">
      <c r="A118" s="14"/>
      <c r="B118" s="24" t="s">
        <v>145</v>
      </c>
      <c r="C118" s="84"/>
      <c r="D118" s="82" t="s">
        <v>138</v>
      </c>
      <c r="E118" s="83" t="s">
        <v>138</v>
      </c>
      <c r="F118" s="84"/>
      <c r="G118" s="82" t="s">
        <v>138</v>
      </c>
      <c r="H118" s="82" t="s">
        <v>138</v>
      </c>
      <c r="I118" s="84"/>
      <c r="J118" s="82" t="s">
        <v>138</v>
      </c>
      <c r="K118" s="82" t="s">
        <v>138</v>
      </c>
      <c r="L118" s="18"/>
      <c r="M118" s="84"/>
      <c r="N118" s="82" t="s">
        <v>138</v>
      </c>
      <c r="O118" s="82" t="s">
        <v>138</v>
      </c>
      <c r="P118" s="84"/>
      <c r="Q118" s="82" t="s">
        <v>138</v>
      </c>
      <c r="R118" s="82" t="s">
        <v>138</v>
      </c>
      <c r="S118" s="84"/>
      <c r="T118" s="82" t="s">
        <v>138</v>
      </c>
      <c r="U118" s="82" t="s">
        <v>138</v>
      </c>
      <c r="V118" s="18"/>
    </row>
    <row r="119" spans="1:22" ht="26.25" x14ac:dyDescent="0.25">
      <c r="A119" s="14" t="s">
        <v>150</v>
      </c>
      <c r="B119" s="81" t="s">
        <v>151</v>
      </c>
      <c r="C119" s="84">
        <f>C121</f>
        <v>119498.32492</v>
      </c>
      <c r="D119" s="82" t="s">
        <v>138</v>
      </c>
      <c r="E119" s="83" t="s">
        <v>138</v>
      </c>
      <c r="F119" s="84">
        <f>F121</f>
        <v>0</v>
      </c>
      <c r="G119" s="82" t="s">
        <v>138</v>
      </c>
      <c r="H119" s="82" t="s">
        <v>138</v>
      </c>
      <c r="I119" s="84"/>
      <c r="J119" s="82" t="s">
        <v>138</v>
      </c>
      <c r="K119" s="82" t="s">
        <v>138</v>
      </c>
      <c r="L119" s="18"/>
      <c r="M119" s="84">
        <f>M121</f>
        <v>380833.8346</v>
      </c>
      <c r="N119" s="82" t="s">
        <v>138</v>
      </c>
      <c r="O119" s="82" t="s">
        <v>138</v>
      </c>
      <c r="P119" s="84">
        <f>P121</f>
        <v>0</v>
      </c>
      <c r="Q119" s="82" t="s">
        <v>138</v>
      </c>
      <c r="R119" s="82" t="s">
        <v>138</v>
      </c>
      <c r="S119" s="84">
        <f>S121</f>
        <v>-215214</v>
      </c>
      <c r="T119" s="82" t="s">
        <v>138</v>
      </c>
      <c r="U119" s="82" t="s">
        <v>138</v>
      </c>
      <c r="V119" s="18"/>
    </row>
    <row r="120" spans="1:22" x14ac:dyDescent="0.25">
      <c r="A120" s="14"/>
      <c r="B120" s="24" t="s">
        <v>17</v>
      </c>
      <c r="C120" s="84"/>
      <c r="D120" s="82"/>
      <c r="E120" s="83"/>
      <c r="F120" s="84"/>
      <c r="G120" s="82"/>
      <c r="H120" s="82"/>
      <c r="I120" s="84"/>
      <c r="J120" s="82"/>
      <c r="K120" s="82"/>
      <c r="L120" s="18"/>
      <c r="M120" s="84"/>
      <c r="N120" s="82"/>
      <c r="O120" s="82"/>
      <c r="P120" s="84"/>
      <c r="Q120" s="82"/>
      <c r="R120" s="82"/>
      <c r="S120" s="84"/>
      <c r="T120" s="82"/>
      <c r="U120" s="82"/>
      <c r="V120" s="18"/>
    </row>
    <row r="121" spans="1:22" ht="51" x14ac:dyDescent="0.25">
      <c r="A121" s="14"/>
      <c r="B121" s="88" t="s">
        <v>152</v>
      </c>
      <c r="C121" s="84">
        <v>119498.32492</v>
      </c>
      <c r="D121" s="82" t="s">
        <v>138</v>
      </c>
      <c r="E121" s="83" t="s">
        <v>138</v>
      </c>
      <c r="F121" s="84">
        <v>0</v>
      </c>
      <c r="G121" s="82" t="s">
        <v>138</v>
      </c>
      <c r="H121" s="82" t="s">
        <v>138</v>
      </c>
      <c r="I121" s="84">
        <v>0</v>
      </c>
      <c r="J121" s="82" t="s">
        <v>138</v>
      </c>
      <c r="K121" s="82" t="s">
        <v>138</v>
      </c>
      <c r="L121" s="18"/>
      <c r="M121" s="84">
        <v>380833.8346</v>
      </c>
      <c r="N121" s="82" t="s">
        <v>138</v>
      </c>
      <c r="O121" s="82" t="s">
        <v>138</v>
      </c>
      <c r="P121" s="84"/>
      <c r="Q121" s="82" t="s">
        <v>138</v>
      </c>
      <c r="R121" s="82" t="s">
        <v>138</v>
      </c>
      <c r="S121" s="84">
        <v>-215214</v>
      </c>
      <c r="T121" s="82" t="s">
        <v>138</v>
      </c>
      <c r="U121" s="82" t="s">
        <v>138</v>
      </c>
      <c r="V121" s="18"/>
    </row>
    <row r="122" spans="1:22" ht="25.5" x14ac:dyDescent="0.25">
      <c r="A122" s="14"/>
      <c r="B122" s="31" t="s">
        <v>153</v>
      </c>
      <c r="C122" s="84"/>
      <c r="D122" s="82" t="s">
        <v>138</v>
      </c>
      <c r="E122" s="83" t="s">
        <v>138</v>
      </c>
      <c r="F122" s="84">
        <v>0</v>
      </c>
      <c r="G122" s="82" t="s">
        <v>138</v>
      </c>
      <c r="H122" s="82" t="s">
        <v>138</v>
      </c>
      <c r="I122" s="84"/>
      <c r="J122" s="82" t="s">
        <v>138</v>
      </c>
      <c r="K122" s="82" t="s">
        <v>138</v>
      </c>
      <c r="L122" s="18"/>
      <c r="M122" s="84"/>
      <c r="N122" s="82" t="s">
        <v>138</v>
      </c>
      <c r="O122" s="82" t="s">
        <v>138</v>
      </c>
      <c r="P122" s="84"/>
      <c r="Q122" s="82" t="s">
        <v>138</v>
      </c>
      <c r="R122" s="82" t="s">
        <v>138</v>
      </c>
      <c r="S122" s="84"/>
      <c r="T122" s="82" t="s">
        <v>138</v>
      </c>
      <c r="U122" s="82" t="s">
        <v>138</v>
      </c>
      <c r="V122" s="18"/>
    </row>
    <row r="123" spans="1:22" ht="25.5" x14ac:dyDescent="0.25">
      <c r="A123" s="14"/>
      <c r="B123" s="31" t="s">
        <v>154</v>
      </c>
      <c r="C123" s="84"/>
      <c r="D123" s="89" t="s">
        <v>138</v>
      </c>
      <c r="E123" s="83" t="s">
        <v>138</v>
      </c>
      <c r="F123" s="90">
        <v>0</v>
      </c>
      <c r="G123" s="82" t="s">
        <v>138</v>
      </c>
      <c r="H123" s="82" t="s">
        <v>138</v>
      </c>
      <c r="I123" s="90"/>
      <c r="J123" s="82" t="s">
        <v>138</v>
      </c>
      <c r="K123" s="82" t="s">
        <v>138</v>
      </c>
      <c r="L123" s="18"/>
      <c r="M123" s="90"/>
      <c r="N123" s="82" t="s">
        <v>138</v>
      </c>
      <c r="O123" s="82" t="s">
        <v>138</v>
      </c>
      <c r="P123" s="90"/>
      <c r="Q123" s="82" t="s">
        <v>138</v>
      </c>
      <c r="R123" s="82" t="s">
        <v>138</v>
      </c>
      <c r="S123" s="90"/>
      <c r="T123" s="82" t="s">
        <v>138</v>
      </c>
      <c r="U123" s="82" t="s">
        <v>138</v>
      </c>
      <c r="V123" s="18"/>
    </row>
    <row r="124" spans="1:22" ht="20.25" customHeight="1" x14ac:dyDescent="0.25">
      <c r="A124" s="91" t="s">
        <v>155</v>
      </c>
      <c r="B124" s="92" t="s">
        <v>156</v>
      </c>
      <c r="C124" s="89">
        <f>C125+C126</f>
        <v>172121.38482000001</v>
      </c>
      <c r="D124" s="89" t="s">
        <v>138</v>
      </c>
      <c r="E124" s="93" t="s">
        <v>138</v>
      </c>
      <c r="F124" s="82" t="s">
        <v>138</v>
      </c>
      <c r="G124" s="82" t="s">
        <v>138</v>
      </c>
      <c r="H124" s="89" t="s">
        <v>138</v>
      </c>
      <c r="I124" s="89" t="s">
        <v>138</v>
      </c>
      <c r="J124" s="89" t="s">
        <v>138</v>
      </c>
      <c r="K124" s="89" t="s">
        <v>138</v>
      </c>
      <c r="L124" s="18"/>
      <c r="M124" s="89">
        <f>M125+M126</f>
        <v>578762.48433999997</v>
      </c>
      <c r="N124" s="89" t="s">
        <v>138</v>
      </c>
      <c r="O124" s="89" t="s">
        <v>138</v>
      </c>
      <c r="P124" s="89">
        <f>P125+P126</f>
        <v>0</v>
      </c>
      <c r="Q124" s="82" t="s">
        <v>138</v>
      </c>
      <c r="R124" s="82" t="s">
        <v>138</v>
      </c>
      <c r="S124" s="89">
        <f>S125+S126</f>
        <v>397832.35678999999</v>
      </c>
      <c r="T124" s="82" t="s">
        <v>138</v>
      </c>
      <c r="U124" s="82" t="s">
        <v>138</v>
      </c>
      <c r="V124" s="18"/>
    </row>
    <row r="125" spans="1:22" x14ac:dyDescent="0.25">
      <c r="A125" s="23"/>
      <c r="B125" s="24" t="s">
        <v>157</v>
      </c>
      <c r="C125" s="94">
        <f>1274+3000+45.15066+30.10046+6.00587</f>
        <v>4355.2569899999999</v>
      </c>
      <c r="D125" s="82" t="s">
        <v>138</v>
      </c>
      <c r="E125" s="83" t="s">
        <v>138</v>
      </c>
      <c r="F125" s="82" t="s">
        <v>138</v>
      </c>
      <c r="G125" s="82" t="s">
        <v>138</v>
      </c>
      <c r="H125" s="89" t="s">
        <v>138</v>
      </c>
      <c r="I125" s="89" t="s">
        <v>138</v>
      </c>
      <c r="J125" s="89" t="s">
        <v>138</v>
      </c>
      <c r="K125" s="89" t="s">
        <v>138</v>
      </c>
      <c r="L125" s="18"/>
      <c r="M125" s="95">
        <f>1274+6026.86109</f>
        <v>7300.8610900000003</v>
      </c>
      <c r="N125" s="89" t="s">
        <v>138</v>
      </c>
      <c r="O125" s="89" t="s">
        <v>138</v>
      </c>
      <c r="P125" s="95"/>
      <c r="Q125" s="82" t="s">
        <v>138</v>
      </c>
      <c r="R125" s="82" t="s">
        <v>138</v>
      </c>
      <c r="S125" s="95">
        <f>M125+T106</f>
        <v>18766.356789999998</v>
      </c>
      <c r="T125" s="82" t="s">
        <v>138</v>
      </c>
      <c r="U125" s="82" t="s">
        <v>138</v>
      </c>
      <c r="V125" s="18"/>
    </row>
    <row r="126" spans="1:22" x14ac:dyDescent="0.25">
      <c r="A126" s="96"/>
      <c r="B126" s="24" t="s">
        <v>158</v>
      </c>
      <c r="C126" s="84">
        <v>167766.12783000001</v>
      </c>
      <c r="D126" s="82" t="s">
        <v>138</v>
      </c>
      <c r="E126" s="83" t="s">
        <v>138</v>
      </c>
      <c r="F126" s="82" t="s">
        <v>138</v>
      </c>
      <c r="G126" s="82" t="s">
        <v>138</v>
      </c>
      <c r="H126" s="82" t="s">
        <v>138</v>
      </c>
      <c r="I126" s="82" t="s">
        <v>138</v>
      </c>
      <c r="J126" s="89" t="s">
        <v>138</v>
      </c>
      <c r="K126" s="89" t="s">
        <v>138</v>
      </c>
      <c r="L126" s="18"/>
      <c r="M126" s="90">
        <f>578762.48434-M125</f>
        <v>571461.62324999995</v>
      </c>
      <c r="N126" s="89" t="s">
        <v>138</v>
      </c>
      <c r="O126" s="89" t="s">
        <v>138</v>
      </c>
      <c r="P126" s="90"/>
      <c r="Q126" s="82" t="s">
        <v>138</v>
      </c>
      <c r="R126" s="82" t="s">
        <v>138</v>
      </c>
      <c r="S126" s="90">
        <v>379066</v>
      </c>
      <c r="T126" s="82" t="s">
        <v>138</v>
      </c>
      <c r="U126" s="82" t="s">
        <v>138</v>
      </c>
      <c r="V126" s="18"/>
    </row>
    <row r="127" spans="1:22" x14ac:dyDescent="0.25">
      <c r="A127" s="96"/>
      <c r="B127" s="24" t="s">
        <v>7</v>
      </c>
      <c r="C127" s="84"/>
      <c r="D127" s="82"/>
      <c r="E127" s="83"/>
      <c r="F127" s="82"/>
      <c r="G127" s="82"/>
      <c r="H127" s="82"/>
      <c r="I127" s="82"/>
      <c r="J127" s="89"/>
      <c r="K127" s="89"/>
      <c r="L127" s="18"/>
      <c r="M127" s="90"/>
      <c r="N127" s="89"/>
      <c r="O127" s="89"/>
      <c r="P127" s="90"/>
      <c r="Q127" s="82"/>
      <c r="R127" s="82"/>
      <c r="S127" s="90"/>
      <c r="T127" s="82"/>
      <c r="U127" s="82"/>
      <c r="V127" s="18"/>
    </row>
    <row r="128" spans="1:22" ht="51.75" x14ac:dyDescent="0.25">
      <c r="A128" s="97"/>
      <c r="B128" s="20" t="s">
        <v>159</v>
      </c>
      <c r="C128" s="84">
        <f>1274+3000+45.15066</f>
        <v>4319.1506600000002</v>
      </c>
      <c r="D128" s="82" t="s">
        <v>138</v>
      </c>
      <c r="E128" s="83" t="s">
        <v>138</v>
      </c>
      <c r="F128" s="82" t="s">
        <v>138</v>
      </c>
      <c r="G128" s="82" t="s">
        <v>138</v>
      </c>
      <c r="H128" s="82" t="s">
        <v>138</v>
      </c>
      <c r="I128" s="82" t="s">
        <v>138</v>
      </c>
      <c r="J128" s="89" t="s">
        <v>138</v>
      </c>
      <c r="K128" s="89" t="s">
        <v>138</v>
      </c>
      <c r="L128" s="18"/>
      <c r="M128" s="90">
        <v>1274</v>
      </c>
      <c r="N128" s="89" t="s">
        <v>138</v>
      </c>
      <c r="O128" s="89" t="s">
        <v>138</v>
      </c>
      <c r="P128" s="90">
        <v>0</v>
      </c>
      <c r="Q128" s="82" t="s">
        <v>138</v>
      </c>
      <c r="R128" s="82" t="s">
        <v>138</v>
      </c>
      <c r="S128" s="90">
        <v>1274</v>
      </c>
      <c r="T128" s="82" t="s">
        <v>138</v>
      </c>
      <c r="U128" s="82" t="s">
        <v>138</v>
      </c>
      <c r="V128" s="18"/>
    </row>
    <row r="129" spans="1:22" ht="26.25" x14ac:dyDescent="0.25">
      <c r="A129" s="91" t="s">
        <v>160</v>
      </c>
      <c r="B129" s="81" t="s">
        <v>161</v>
      </c>
      <c r="C129" s="90">
        <v>0</v>
      </c>
      <c r="D129" s="84"/>
      <c r="E129" s="98"/>
      <c r="F129" s="82" t="s">
        <v>138</v>
      </c>
      <c r="G129" s="82" t="s">
        <v>138</v>
      </c>
      <c r="H129" s="82" t="s">
        <v>138</v>
      </c>
      <c r="I129" s="82" t="s">
        <v>138</v>
      </c>
      <c r="J129" s="82" t="s">
        <v>138</v>
      </c>
      <c r="K129" s="82" t="s">
        <v>138</v>
      </c>
      <c r="L129" s="99" t="s">
        <v>138</v>
      </c>
      <c r="M129" s="90"/>
      <c r="N129" s="90"/>
      <c r="O129" s="90"/>
      <c r="P129" s="90"/>
      <c r="Q129" s="90"/>
      <c r="R129" s="90"/>
      <c r="S129" s="90"/>
      <c r="T129" s="90"/>
      <c r="U129" s="90"/>
      <c r="V129" s="18" t="e">
        <f t="shared" ref="V129:V145" si="82">U129/E129</f>
        <v>#DIV/0!</v>
      </c>
    </row>
    <row r="130" spans="1:22" x14ac:dyDescent="0.25">
      <c r="A130" s="91" t="s">
        <v>162</v>
      </c>
      <c r="B130" s="100" t="s">
        <v>163</v>
      </c>
      <c r="C130" s="101">
        <f>SUM(C131:C144)</f>
        <v>2657311.2247799998</v>
      </c>
      <c r="D130" s="101">
        <f t="shared" ref="D130:T130" si="83">SUM(D131:D144)</f>
        <v>1530265.3523199998</v>
      </c>
      <c r="E130" s="102">
        <f>C130-D130</f>
        <v>1127045.87246</v>
      </c>
      <c r="F130" s="101">
        <f>SUM(F131:F144)</f>
        <v>3154742.8476699996</v>
      </c>
      <c r="G130" s="101">
        <f t="shared" si="83"/>
        <v>1871812.6376099999</v>
      </c>
      <c r="H130" s="102">
        <f>F130-G130</f>
        <v>1282930.2100599997</v>
      </c>
      <c r="I130" s="101">
        <f t="shared" si="83"/>
        <v>3531328.2769399993</v>
      </c>
      <c r="J130" s="101">
        <f t="shared" si="83"/>
        <v>2090601.0038899998</v>
      </c>
      <c r="K130" s="102">
        <f>I130-J130</f>
        <v>1440727.2730499995</v>
      </c>
      <c r="L130" s="18">
        <f t="shared" ref="L130:L145" si="84">K130/E130</f>
        <v>1.2783217686653054</v>
      </c>
      <c r="M130" s="103">
        <f t="shared" si="83"/>
        <v>3333718.34002</v>
      </c>
      <c r="N130" s="103">
        <f t="shared" si="83"/>
        <v>1951982.21104</v>
      </c>
      <c r="O130" s="102">
        <f>M130-N130</f>
        <v>1381736.12898</v>
      </c>
      <c r="P130" s="103">
        <f t="shared" si="83"/>
        <v>3147176.2886099997</v>
      </c>
      <c r="Q130" s="103">
        <f t="shared" si="83"/>
        <v>1741913.41864</v>
      </c>
      <c r="R130" s="102">
        <f>P130-Q130</f>
        <v>1405262.8699699997</v>
      </c>
      <c r="S130" s="103">
        <f t="shared" si="83"/>
        <v>45097.8</v>
      </c>
      <c r="T130" s="103">
        <f t="shared" si="83"/>
        <v>32450.7</v>
      </c>
      <c r="U130" s="102">
        <f>S130-T130</f>
        <v>12647.100000000002</v>
      </c>
      <c r="V130" s="18">
        <f t="shared" si="82"/>
        <v>1.1221459843861734E-2</v>
      </c>
    </row>
    <row r="131" spans="1:22" x14ac:dyDescent="0.25">
      <c r="A131" s="104"/>
      <c r="B131" s="105" t="s">
        <v>164</v>
      </c>
      <c r="C131" s="106">
        <v>333725.59876000002</v>
      </c>
      <c r="D131" s="106">
        <v>3779.2215299999998</v>
      </c>
      <c r="E131" s="102">
        <f>C131-D131</f>
        <v>329946.37723000004</v>
      </c>
      <c r="F131" s="107">
        <v>346772.72587999998</v>
      </c>
      <c r="G131" s="107">
        <v>2509.8608800000002</v>
      </c>
      <c r="H131" s="102">
        <f>F131-G131</f>
        <v>344262.86499999999</v>
      </c>
      <c r="I131" s="108">
        <v>372665.1</v>
      </c>
      <c r="J131" s="108">
        <v>2827.67679</v>
      </c>
      <c r="K131" s="102">
        <f>I131-J131</f>
        <v>369837.42320999998</v>
      </c>
      <c r="L131" s="18">
        <f t="shared" si="84"/>
        <v>1.1209016032086709</v>
      </c>
      <c r="M131" s="109">
        <v>352317.56187999999</v>
      </c>
      <c r="N131" s="109">
        <v>2823.3892700000001</v>
      </c>
      <c r="O131" s="102">
        <f>M131-N131</f>
        <v>349494.17261000001</v>
      </c>
      <c r="P131" s="109">
        <v>363041.09779999999</v>
      </c>
      <c r="Q131" s="109">
        <v>1111.0978</v>
      </c>
      <c r="R131" s="102">
        <f>P131-Q131</f>
        <v>361930</v>
      </c>
      <c r="S131" s="109">
        <v>7315.2</v>
      </c>
      <c r="T131" s="109">
        <v>215</v>
      </c>
      <c r="U131" s="102">
        <f>S131-T131</f>
        <v>7100.2</v>
      </c>
      <c r="V131" s="18">
        <f t="shared" si="82"/>
        <v>2.151925430916482E-2</v>
      </c>
    </row>
    <row r="132" spans="1:22" x14ac:dyDescent="0.25">
      <c r="A132" s="104"/>
      <c r="B132" s="110" t="s">
        <v>165</v>
      </c>
      <c r="C132" s="106">
        <v>0</v>
      </c>
      <c r="D132" s="106">
        <v>0</v>
      </c>
      <c r="E132" s="102">
        <f t="shared" ref="E132:E144" si="85">C132-D132</f>
        <v>0</v>
      </c>
      <c r="F132" s="111">
        <v>2052.6</v>
      </c>
      <c r="G132" s="111">
        <f>F132</f>
        <v>2052.6</v>
      </c>
      <c r="H132" s="102">
        <f t="shared" ref="H132:H144" si="86">F132-G132</f>
        <v>0</v>
      </c>
      <c r="I132" s="112">
        <v>4812.5819600000004</v>
      </c>
      <c r="J132" s="112">
        <v>2177.4609999999998</v>
      </c>
      <c r="K132" s="102">
        <f t="shared" ref="K132:K144" si="87">I132-J132</f>
        <v>2635.1209600000007</v>
      </c>
      <c r="L132" s="18" t="e">
        <f t="shared" si="84"/>
        <v>#DIV/0!</v>
      </c>
      <c r="M132" s="94">
        <v>4804.4948100000001</v>
      </c>
      <c r="N132" s="94">
        <v>2169.3738499999999</v>
      </c>
      <c r="O132" s="102">
        <f t="shared" ref="O132:O144" si="88">M132-N132</f>
        <v>2635.1209600000002</v>
      </c>
      <c r="P132" s="109">
        <v>2501.2058000000002</v>
      </c>
      <c r="Q132" s="109">
        <v>2501.2058000000002</v>
      </c>
      <c r="R132" s="102">
        <f t="shared" ref="R132:R144" si="89">P132-Q132</f>
        <v>0</v>
      </c>
      <c r="S132" s="109">
        <v>147.19999999999999</v>
      </c>
      <c r="T132" s="109">
        <f>S132</f>
        <v>147.19999999999999</v>
      </c>
      <c r="U132" s="102">
        <f t="shared" ref="U132:U143" si="90">S132-T132</f>
        <v>0</v>
      </c>
      <c r="V132" s="18" t="e">
        <f t="shared" si="82"/>
        <v>#DIV/0!</v>
      </c>
    </row>
    <row r="133" spans="1:22" x14ac:dyDescent="0.25">
      <c r="A133" s="104"/>
      <c r="B133" s="110" t="s">
        <v>166</v>
      </c>
      <c r="C133" s="94">
        <v>14079.20385</v>
      </c>
      <c r="D133" s="94">
        <v>2370.2378199999998</v>
      </c>
      <c r="E133" s="102">
        <f t="shared" si="85"/>
        <v>11708.96603</v>
      </c>
      <c r="F133" s="111">
        <v>16967.189999999999</v>
      </c>
      <c r="G133" s="111">
        <v>2833.39</v>
      </c>
      <c r="H133" s="102">
        <f t="shared" si="86"/>
        <v>14133.8</v>
      </c>
      <c r="I133" s="112">
        <v>16059.578</v>
      </c>
      <c r="J133" s="112">
        <v>2833.39</v>
      </c>
      <c r="K133" s="102">
        <f t="shared" si="87"/>
        <v>13226.188</v>
      </c>
      <c r="L133" s="18">
        <f t="shared" si="84"/>
        <v>1.1295777924466317</v>
      </c>
      <c r="M133" s="94">
        <v>15386.383180000001</v>
      </c>
      <c r="N133" s="94">
        <v>2829.6790299999998</v>
      </c>
      <c r="O133" s="102">
        <f t="shared" si="88"/>
        <v>12556.704150000001</v>
      </c>
      <c r="P133" s="109">
        <v>19294.286479999999</v>
      </c>
      <c r="Q133" s="109">
        <v>3099.3864800000001</v>
      </c>
      <c r="R133" s="102">
        <f t="shared" si="89"/>
        <v>16194.899999999998</v>
      </c>
      <c r="S133" s="109">
        <v>104.2</v>
      </c>
      <c r="T133" s="109">
        <v>45</v>
      </c>
      <c r="U133" s="102">
        <f t="shared" si="90"/>
        <v>59.2</v>
      </c>
      <c r="V133" s="18">
        <f t="shared" si="82"/>
        <v>5.055954543579798E-3</v>
      </c>
    </row>
    <row r="134" spans="1:22" x14ac:dyDescent="0.25">
      <c r="A134" s="104"/>
      <c r="B134" s="110" t="s">
        <v>167</v>
      </c>
      <c r="C134" s="112">
        <v>134711.35086999999</v>
      </c>
      <c r="D134" s="112">
        <v>56200.570729999999</v>
      </c>
      <c r="E134" s="102">
        <f t="shared" si="85"/>
        <v>78510.780139999988</v>
      </c>
      <c r="F134" s="111">
        <v>121043.29444</v>
      </c>
      <c r="G134" s="111">
        <v>58544.159440000003</v>
      </c>
      <c r="H134" s="102">
        <f t="shared" si="86"/>
        <v>62499.134999999995</v>
      </c>
      <c r="I134" s="112">
        <v>153875.35842</v>
      </c>
      <c r="J134" s="112">
        <v>75011.117759999994</v>
      </c>
      <c r="K134" s="102">
        <f t="shared" si="87"/>
        <v>78864.24066000001</v>
      </c>
      <c r="L134" s="18">
        <f t="shared" si="84"/>
        <v>1.0045020635302533</v>
      </c>
      <c r="M134" s="94">
        <v>134302.01684</v>
      </c>
      <c r="N134" s="94">
        <v>56925.578119999998</v>
      </c>
      <c r="O134" s="102">
        <f t="shared" si="88"/>
        <v>77376.438720000006</v>
      </c>
      <c r="P134" s="109">
        <v>114752.37227000001</v>
      </c>
      <c r="Q134" s="109">
        <v>52146.37227</v>
      </c>
      <c r="R134" s="102">
        <f t="shared" si="89"/>
        <v>62606.000000000007</v>
      </c>
      <c r="S134" s="109">
        <v>745.3</v>
      </c>
      <c r="T134" s="109"/>
      <c r="U134" s="102">
        <f t="shared" si="90"/>
        <v>745.3</v>
      </c>
      <c r="V134" s="18">
        <f t="shared" si="82"/>
        <v>9.4929638792403421E-3</v>
      </c>
    </row>
    <row r="135" spans="1:22" x14ac:dyDescent="0.25">
      <c r="A135" s="104"/>
      <c r="B135" s="110" t="s">
        <v>168</v>
      </c>
      <c r="C135" s="112">
        <v>279873.69695999997</v>
      </c>
      <c r="D135" s="112">
        <v>148239.31185</v>
      </c>
      <c r="E135" s="102">
        <f t="shared" si="85"/>
        <v>131634.38510999997</v>
      </c>
      <c r="F135" s="111">
        <v>401040.66369999998</v>
      </c>
      <c r="G135" s="111">
        <v>173427.26370000001</v>
      </c>
      <c r="H135" s="102">
        <f t="shared" si="86"/>
        <v>227613.39999999997</v>
      </c>
      <c r="I135" s="112">
        <v>677219.05263000005</v>
      </c>
      <c r="J135" s="112">
        <v>392701.64601000003</v>
      </c>
      <c r="K135" s="102">
        <f t="shared" si="87"/>
        <v>284517.40662000002</v>
      </c>
      <c r="L135" s="18">
        <f t="shared" si="84"/>
        <v>2.1614216253773182</v>
      </c>
      <c r="M135" s="94">
        <v>560201.83079000004</v>
      </c>
      <c r="N135" s="94">
        <v>304711.04715</v>
      </c>
      <c r="O135" s="102">
        <f t="shared" si="88"/>
        <v>255490.78364000004</v>
      </c>
      <c r="P135" s="109">
        <v>270607.20919999998</v>
      </c>
      <c r="Q135" s="109">
        <v>60062.639199999998</v>
      </c>
      <c r="R135" s="102">
        <f t="shared" si="89"/>
        <v>210544.56999999998</v>
      </c>
      <c r="S135" s="109">
        <v>3715</v>
      </c>
      <c r="T135" s="109">
        <v>1126</v>
      </c>
      <c r="U135" s="102">
        <f t="shared" si="90"/>
        <v>2589</v>
      </c>
      <c r="V135" s="18">
        <f t="shared" si="82"/>
        <v>1.9668113296054886E-2</v>
      </c>
    </row>
    <row r="136" spans="1:22" x14ac:dyDescent="0.25">
      <c r="A136" s="104"/>
      <c r="B136" s="110" t="s">
        <v>169</v>
      </c>
      <c r="C136" s="112">
        <v>6705.1715700000004</v>
      </c>
      <c r="D136" s="112">
        <v>3808.28</v>
      </c>
      <c r="E136" s="102">
        <f t="shared" si="85"/>
        <v>2896.8915700000002</v>
      </c>
      <c r="F136" s="111">
        <v>1500</v>
      </c>
      <c r="G136" s="111">
        <v>0</v>
      </c>
      <c r="H136" s="102">
        <f t="shared" si="86"/>
        <v>1500</v>
      </c>
      <c r="I136" s="112">
        <v>2811.2143999999998</v>
      </c>
      <c r="J136" s="112">
        <v>0</v>
      </c>
      <c r="K136" s="102">
        <f t="shared" si="87"/>
        <v>2811.2143999999998</v>
      </c>
      <c r="L136" s="18">
        <f t="shared" si="84"/>
        <v>0.97042444705653919</v>
      </c>
      <c r="M136" s="94">
        <v>2511.1727999999998</v>
      </c>
      <c r="N136" s="94">
        <v>0</v>
      </c>
      <c r="O136" s="102">
        <f t="shared" si="88"/>
        <v>2511.1727999999998</v>
      </c>
      <c r="P136" s="109">
        <v>12500</v>
      </c>
      <c r="Q136" s="109">
        <v>0</v>
      </c>
      <c r="R136" s="102">
        <f t="shared" si="89"/>
        <v>12500</v>
      </c>
      <c r="S136" s="109">
        <v>0</v>
      </c>
      <c r="T136" s="109"/>
      <c r="U136" s="102">
        <f t="shared" si="90"/>
        <v>0</v>
      </c>
      <c r="V136" s="18">
        <f t="shared" si="82"/>
        <v>0</v>
      </c>
    </row>
    <row r="137" spans="1:22" x14ac:dyDescent="0.25">
      <c r="A137" s="104"/>
      <c r="B137" s="110" t="s">
        <v>170</v>
      </c>
      <c r="C137" s="112">
        <v>1420867.05167</v>
      </c>
      <c r="D137" s="112">
        <v>992955.64116999996</v>
      </c>
      <c r="E137" s="102">
        <f t="shared" si="85"/>
        <v>427911.4105</v>
      </c>
      <c r="F137" s="111">
        <v>1533651.2949999999</v>
      </c>
      <c r="G137" s="111">
        <v>1069288.889</v>
      </c>
      <c r="H137" s="102">
        <f t="shared" si="86"/>
        <v>464362.40599999996</v>
      </c>
      <c r="I137" s="112">
        <v>1621856.2712300001</v>
      </c>
      <c r="J137" s="112">
        <v>1110754.1398199999</v>
      </c>
      <c r="K137" s="102">
        <f t="shared" si="87"/>
        <v>511102.13141000015</v>
      </c>
      <c r="L137" s="18">
        <f t="shared" si="84"/>
        <v>1.1944110833894208</v>
      </c>
      <c r="M137" s="94">
        <v>1601674.93579</v>
      </c>
      <c r="N137" s="94">
        <v>1095160.5503</v>
      </c>
      <c r="O137" s="102">
        <f t="shared" si="88"/>
        <v>506514.38549000002</v>
      </c>
      <c r="P137" s="109">
        <v>1637257.89897</v>
      </c>
      <c r="Q137" s="109">
        <v>1119062.399</v>
      </c>
      <c r="R137" s="102">
        <f t="shared" si="89"/>
        <v>518195.49997</v>
      </c>
      <c r="S137" s="109">
        <f>17859.6+3125</f>
        <v>20984.6</v>
      </c>
      <c r="T137" s="109">
        <v>19523.2</v>
      </c>
      <c r="U137" s="102">
        <f t="shared" si="90"/>
        <v>1461.3999999999978</v>
      </c>
      <c r="V137" s="18">
        <f t="shared" si="82"/>
        <v>3.4151928743671534E-3</v>
      </c>
    </row>
    <row r="138" spans="1:22" x14ac:dyDescent="0.25">
      <c r="A138" s="104"/>
      <c r="B138" s="110" t="s">
        <v>171</v>
      </c>
      <c r="C138" s="112">
        <v>287620.04645999998</v>
      </c>
      <c r="D138" s="112">
        <v>211138.66977000001</v>
      </c>
      <c r="E138" s="102">
        <f t="shared" si="85"/>
        <v>76481.376689999975</v>
      </c>
      <c r="F138" s="111">
        <v>503521.84064000001</v>
      </c>
      <c r="G138" s="111">
        <v>417298.83658</v>
      </c>
      <c r="H138" s="102">
        <f t="shared" si="86"/>
        <v>86223.004060000007</v>
      </c>
      <c r="I138" s="112">
        <v>454190.67845000001</v>
      </c>
      <c r="J138" s="112">
        <v>354031.74767000001</v>
      </c>
      <c r="K138" s="102">
        <f t="shared" si="87"/>
        <v>100158.93078</v>
      </c>
      <c r="L138" s="18">
        <f t="shared" si="84"/>
        <v>1.3095858771733628</v>
      </c>
      <c r="M138" s="94">
        <v>447311.87654000003</v>
      </c>
      <c r="N138" s="94">
        <v>348960.60313</v>
      </c>
      <c r="O138" s="102">
        <f t="shared" si="88"/>
        <v>98351.273410000023</v>
      </c>
      <c r="P138" s="109">
        <v>466622.26309000002</v>
      </c>
      <c r="Q138" s="109">
        <v>367173.76309000002</v>
      </c>
      <c r="R138" s="102">
        <f t="shared" si="89"/>
        <v>99448.5</v>
      </c>
      <c r="S138" s="109">
        <v>6115.3</v>
      </c>
      <c r="T138" s="109">
        <v>5912.7</v>
      </c>
      <c r="U138" s="102">
        <f t="shared" si="90"/>
        <v>202.60000000000036</v>
      </c>
      <c r="V138" s="18">
        <f t="shared" si="82"/>
        <v>2.6490108934779481E-3</v>
      </c>
    </row>
    <row r="139" spans="1:22" x14ac:dyDescent="0.25">
      <c r="A139" s="104"/>
      <c r="B139" s="110" t="s">
        <v>172</v>
      </c>
      <c r="C139" s="112"/>
      <c r="D139" s="112"/>
      <c r="E139" s="102">
        <f t="shared" si="85"/>
        <v>0</v>
      </c>
      <c r="F139" s="111"/>
      <c r="G139" s="111"/>
      <c r="H139" s="102">
        <f t="shared" si="86"/>
        <v>0</v>
      </c>
      <c r="I139" s="112"/>
      <c r="J139" s="112"/>
      <c r="K139" s="102">
        <f t="shared" si="87"/>
        <v>0</v>
      </c>
      <c r="L139" s="18" t="e">
        <f t="shared" si="84"/>
        <v>#DIV/0!</v>
      </c>
      <c r="M139" s="94"/>
      <c r="N139" s="94"/>
      <c r="O139" s="102">
        <f t="shared" si="88"/>
        <v>0</v>
      </c>
      <c r="P139" s="109"/>
      <c r="Q139" s="109"/>
      <c r="R139" s="102">
        <f t="shared" si="89"/>
        <v>0</v>
      </c>
      <c r="S139" s="109"/>
      <c r="T139" s="109"/>
      <c r="U139" s="102">
        <f t="shared" si="90"/>
        <v>0</v>
      </c>
      <c r="V139" s="18" t="e">
        <f t="shared" si="82"/>
        <v>#DIV/0!</v>
      </c>
    </row>
    <row r="140" spans="1:22" x14ac:dyDescent="0.25">
      <c r="A140" s="104"/>
      <c r="B140" s="110" t="s">
        <v>173</v>
      </c>
      <c r="C140" s="112">
        <v>78078.757140000002</v>
      </c>
      <c r="D140" s="112">
        <v>73052.706779999993</v>
      </c>
      <c r="E140" s="102">
        <f t="shared" si="85"/>
        <v>5026.0503600000084</v>
      </c>
      <c r="F140" s="111">
        <v>91284.486000000004</v>
      </c>
      <c r="G140" s="111">
        <v>86407.785999999993</v>
      </c>
      <c r="H140" s="102">
        <f t="shared" si="86"/>
        <v>4876.7000000000116</v>
      </c>
      <c r="I140" s="112">
        <v>94891.191999999995</v>
      </c>
      <c r="J140" s="112">
        <v>89024.77</v>
      </c>
      <c r="K140" s="102">
        <f t="shared" si="87"/>
        <v>5866.4219999999914</v>
      </c>
      <c r="L140" s="18">
        <f t="shared" si="84"/>
        <v>1.167203187355246</v>
      </c>
      <c r="M140" s="94">
        <v>88709.376969999998</v>
      </c>
      <c r="N140" s="94">
        <v>82848.399619999997</v>
      </c>
      <c r="O140" s="102">
        <f t="shared" si="88"/>
        <v>5860.977350000001</v>
      </c>
      <c r="P140" s="109">
        <v>116408.655</v>
      </c>
      <c r="Q140" s="109">
        <v>110608.855</v>
      </c>
      <c r="R140" s="102">
        <f t="shared" si="89"/>
        <v>5799.8000000000029</v>
      </c>
      <c r="S140" s="109">
        <v>4103.7</v>
      </c>
      <c r="T140" s="109">
        <v>4095.3</v>
      </c>
      <c r="U140" s="102">
        <f t="shared" si="90"/>
        <v>8.3999999999996362</v>
      </c>
      <c r="V140" s="18">
        <f t="shared" si="82"/>
        <v>1.671292446023088E-3</v>
      </c>
    </row>
    <row r="141" spans="1:22" x14ac:dyDescent="0.25">
      <c r="A141" s="104"/>
      <c r="B141" s="110" t="s">
        <v>174</v>
      </c>
      <c r="C141" s="112">
        <v>93431.472309999997</v>
      </c>
      <c r="D141" s="112">
        <v>38720.712670000001</v>
      </c>
      <c r="E141" s="102">
        <f t="shared" si="85"/>
        <v>54710.759639999997</v>
      </c>
      <c r="F141" s="111">
        <v>129645.85201</v>
      </c>
      <c r="G141" s="111">
        <v>59449.852010000002</v>
      </c>
      <c r="H141" s="102">
        <f t="shared" si="86"/>
        <v>70196</v>
      </c>
      <c r="I141" s="112">
        <v>125750.84985</v>
      </c>
      <c r="J141" s="112">
        <v>61239.054839999997</v>
      </c>
      <c r="K141" s="102">
        <f t="shared" si="87"/>
        <v>64511.795010000002</v>
      </c>
      <c r="L141" s="18">
        <f t="shared" si="84"/>
        <v>1.1791427396455723</v>
      </c>
      <c r="M141" s="94">
        <v>119302.32921</v>
      </c>
      <c r="N141" s="94">
        <v>55553.59057</v>
      </c>
      <c r="O141" s="102">
        <f t="shared" si="88"/>
        <v>63748.738639999996</v>
      </c>
      <c r="P141" s="109">
        <v>135838.79999999999</v>
      </c>
      <c r="Q141" s="109">
        <v>26147.7</v>
      </c>
      <c r="R141" s="102">
        <f t="shared" si="89"/>
        <v>109691.09999999999</v>
      </c>
      <c r="S141" s="109">
        <v>1755.3</v>
      </c>
      <c r="T141" s="109">
        <v>1386.3</v>
      </c>
      <c r="U141" s="102">
        <f t="shared" si="90"/>
        <v>369</v>
      </c>
      <c r="V141" s="18">
        <f t="shared" si="82"/>
        <v>6.7445599810355703E-3</v>
      </c>
    </row>
    <row r="142" spans="1:22" x14ac:dyDescent="0.25">
      <c r="A142" s="104"/>
      <c r="B142" s="110" t="s">
        <v>175</v>
      </c>
      <c r="C142" s="112">
        <v>8100.8753800000004</v>
      </c>
      <c r="D142" s="112">
        <v>0</v>
      </c>
      <c r="E142" s="102">
        <f t="shared" si="85"/>
        <v>8100.8753800000004</v>
      </c>
      <c r="F142" s="111">
        <v>7043.9</v>
      </c>
      <c r="G142" s="111">
        <v>0</v>
      </c>
      <c r="H142" s="102">
        <f t="shared" si="86"/>
        <v>7043.9</v>
      </c>
      <c r="I142" s="112">
        <v>7093</v>
      </c>
      <c r="J142" s="112">
        <v>0</v>
      </c>
      <c r="K142" s="102">
        <f t="shared" si="87"/>
        <v>7093</v>
      </c>
      <c r="L142" s="18">
        <f t="shared" si="84"/>
        <v>0.8755843865357672</v>
      </c>
      <c r="M142" s="94">
        <v>7093</v>
      </c>
      <c r="N142" s="94">
        <v>0</v>
      </c>
      <c r="O142" s="102">
        <f t="shared" si="88"/>
        <v>7093</v>
      </c>
      <c r="P142" s="109">
        <v>8127.2</v>
      </c>
      <c r="Q142" s="109">
        <v>0</v>
      </c>
      <c r="R142" s="102">
        <f t="shared" si="89"/>
        <v>8127.2</v>
      </c>
      <c r="S142" s="109">
        <v>112</v>
      </c>
      <c r="T142" s="109"/>
      <c r="U142" s="102">
        <f t="shared" si="90"/>
        <v>112</v>
      </c>
      <c r="V142" s="18">
        <f t="shared" si="82"/>
        <v>1.3825666331877333E-2</v>
      </c>
    </row>
    <row r="143" spans="1:22" x14ac:dyDescent="0.25">
      <c r="A143" s="104"/>
      <c r="B143" s="110" t="s">
        <v>176</v>
      </c>
      <c r="C143" s="112">
        <v>117.99981</v>
      </c>
      <c r="D143" s="112">
        <v>0</v>
      </c>
      <c r="E143" s="102">
        <f t="shared" si="85"/>
        <v>117.99981</v>
      </c>
      <c r="F143" s="111">
        <v>219</v>
      </c>
      <c r="G143" s="111">
        <v>0</v>
      </c>
      <c r="H143" s="102">
        <f t="shared" si="86"/>
        <v>219</v>
      </c>
      <c r="I143" s="112">
        <v>103.4</v>
      </c>
      <c r="J143" s="112">
        <v>0</v>
      </c>
      <c r="K143" s="102">
        <f t="shared" si="87"/>
        <v>103.4</v>
      </c>
      <c r="L143" s="18">
        <f t="shared" si="84"/>
        <v>0.87627259738808061</v>
      </c>
      <c r="M143" s="94">
        <v>103.36121</v>
      </c>
      <c r="N143" s="94">
        <v>0</v>
      </c>
      <c r="O143" s="102">
        <f t="shared" si="88"/>
        <v>103.36121</v>
      </c>
      <c r="P143" s="109">
        <v>225.3</v>
      </c>
      <c r="Q143" s="109">
        <v>0</v>
      </c>
      <c r="R143" s="102">
        <f t="shared" si="89"/>
        <v>225.3</v>
      </c>
      <c r="S143" s="109">
        <v>0</v>
      </c>
      <c r="T143" s="109"/>
      <c r="U143" s="102">
        <f t="shared" si="90"/>
        <v>0</v>
      </c>
      <c r="V143" s="18">
        <f t="shared" si="82"/>
        <v>0</v>
      </c>
    </row>
    <row r="144" spans="1:22" x14ac:dyDescent="0.25">
      <c r="A144" s="104"/>
      <c r="B144" s="110" t="s">
        <v>177</v>
      </c>
      <c r="C144" s="112"/>
      <c r="D144" s="112"/>
      <c r="E144" s="102">
        <f t="shared" si="85"/>
        <v>0</v>
      </c>
      <c r="F144" s="111"/>
      <c r="G144" s="111"/>
      <c r="H144" s="102">
        <f t="shared" si="86"/>
        <v>0</v>
      </c>
      <c r="I144" s="112"/>
      <c r="J144" s="112"/>
      <c r="K144" s="102">
        <f t="shared" si="87"/>
        <v>0</v>
      </c>
      <c r="L144" s="18" t="e">
        <f t="shared" si="84"/>
        <v>#DIV/0!</v>
      </c>
      <c r="M144" s="94"/>
      <c r="N144" s="94"/>
      <c r="O144" s="102">
        <f t="shared" si="88"/>
        <v>0</v>
      </c>
      <c r="P144" s="109"/>
      <c r="Q144" s="109"/>
      <c r="R144" s="102">
        <f t="shared" si="89"/>
        <v>0</v>
      </c>
      <c r="S144" s="109"/>
      <c r="T144" s="109"/>
      <c r="U144" s="102"/>
      <c r="V144" s="18" t="e">
        <f t="shared" si="82"/>
        <v>#DIV/0!</v>
      </c>
    </row>
    <row r="145" spans="1:22" x14ac:dyDescent="0.25">
      <c r="A145" s="104"/>
      <c r="B145" s="113" t="s">
        <v>178</v>
      </c>
      <c r="C145" s="114">
        <f>SUM(C131:C144)</f>
        <v>2657311.2247799998</v>
      </c>
      <c r="D145" s="114">
        <f t="shared" ref="D145:U145" si="91">SUM(D131:D144)</f>
        <v>1530265.3523199998</v>
      </c>
      <c r="E145" s="115">
        <f t="shared" si="91"/>
        <v>1127045.8724600002</v>
      </c>
      <c r="F145" s="114">
        <f t="shared" si="91"/>
        <v>3154742.8476699996</v>
      </c>
      <c r="G145" s="114">
        <f t="shared" si="91"/>
        <v>1871812.6376099999</v>
      </c>
      <c r="H145" s="114">
        <f t="shared" si="91"/>
        <v>1282930.2100599997</v>
      </c>
      <c r="I145" s="114">
        <f t="shared" si="91"/>
        <v>3531328.2769399993</v>
      </c>
      <c r="J145" s="114">
        <f t="shared" si="91"/>
        <v>2090601.0038899998</v>
      </c>
      <c r="K145" s="114">
        <f t="shared" si="91"/>
        <v>1440727.2730500002</v>
      </c>
      <c r="L145" s="18">
        <f t="shared" si="84"/>
        <v>1.2783217686653059</v>
      </c>
      <c r="M145" s="114">
        <f t="shared" si="91"/>
        <v>3333718.34002</v>
      </c>
      <c r="N145" s="114">
        <f t="shared" si="91"/>
        <v>1951982.21104</v>
      </c>
      <c r="O145" s="114">
        <f t="shared" si="91"/>
        <v>1381736.1289799998</v>
      </c>
      <c r="P145" s="114">
        <f t="shared" si="91"/>
        <v>3147176.2886099997</v>
      </c>
      <c r="Q145" s="114">
        <f t="shared" si="91"/>
        <v>1741913.41864</v>
      </c>
      <c r="R145" s="114">
        <f t="shared" si="91"/>
        <v>1405262.8699700001</v>
      </c>
      <c r="S145" s="114">
        <f t="shared" si="91"/>
        <v>45097.8</v>
      </c>
      <c r="T145" s="114">
        <f t="shared" si="91"/>
        <v>32450.7</v>
      </c>
      <c r="U145" s="114">
        <f t="shared" si="91"/>
        <v>12647.099999999999</v>
      </c>
      <c r="V145" s="18">
        <f t="shared" si="82"/>
        <v>1.1221459843861728E-2</v>
      </c>
    </row>
    <row r="146" spans="1:22" x14ac:dyDescent="0.25">
      <c r="A146" s="104"/>
      <c r="B146" s="113" t="s">
        <v>179</v>
      </c>
      <c r="C146" s="116">
        <f t="shared" ref="C146:K146" si="92">C105-C145</f>
        <v>1.7500000074505806E-2</v>
      </c>
      <c r="D146" s="116">
        <f t="shared" si="92"/>
        <v>1.0000308975577354E-5</v>
      </c>
      <c r="E146" s="116">
        <f t="shared" si="92"/>
        <v>1.7489999532699585E-2</v>
      </c>
      <c r="F146" s="114">
        <f t="shared" si="92"/>
        <v>0</v>
      </c>
      <c r="G146" s="114">
        <f t="shared" si="92"/>
        <v>0</v>
      </c>
      <c r="H146" s="114">
        <f t="shared" si="92"/>
        <v>0</v>
      </c>
      <c r="I146" s="114">
        <f t="shared" si="92"/>
        <v>4.3000048026442528E-4</v>
      </c>
      <c r="J146" s="114">
        <f t="shared" si="92"/>
        <v>0</v>
      </c>
      <c r="K146" s="114">
        <f t="shared" si="92"/>
        <v>4.2999931611120701E-4</v>
      </c>
      <c r="L146" s="117"/>
      <c r="M146" s="114">
        <f t="shared" ref="M146:U146" si="93">M105-M145</f>
        <v>0</v>
      </c>
      <c r="N146" s="114">
        <f t="shared" si="93"/>
        <v>0</v>
      </c>
      <c r="O146" s="114">
        <f t="shared" si="93"/>
        <v>0</v>
      </c>
      <c r="P146" s="114">
        <f t="shared" si="93"/>
        <v>0</v>
      </c>
      <c r="Q146" s="114">
        <f t="shared" si="93"/>
        <v>0.32003000006079674</v>
      </c>
      <c r="R146" s="114">
        <f t="shared" si="93"/>
        <v>-0.32003000052645802</v>
      </c>
      <c r="S146" s="114">
        <f t="shared" si="93"/>
        <v>-5.6000000004132744E-2</v>
      </c>
      <c r="T146" s="114">
        <f t="shared" si="93"/>
        <v>0.2000000000007276</v>
      </c>
      <c r="U146" s="114">
        <f t="shared" si="93"/>
        <v>-0.25600000000122236</v>
      </c>
      <c r="V146" s="18"/>
    </row>
    <row r="147" spans="1:22" x14ac:dyDescent="0.25">
      <c r="A147" s="91" t="s">
        <v>180</v>
      </c>
      <c r="B147" s="118" t="s">
        <v>181</v>
      </c>
      <c r="C147" s="119"/>
      <c r="D147" s="120"/>
      <c r="E147" s="121"/>
      <c r="F147" s="122"/>
      <c r="G147" s="122"/>
      <c r="H147" s="122"/>
      <c r="I147" s="122"/>
      <c r="J147" s="122"/>
      <c r="K147" s="122"/>
      <c r="L147" s="123"/>
      <c r="M147" s="124"/>
      <c r="N147" s="122"/>
      <c r="O147" s="122"/>
      <c r="P147" s="124"/>
      <c r="Q147" s="122"/>
      <c r="R147" s="122"/>
      <c r="S147" s="124"/>
      <c r="T147" s="122"/>
      <c r="U147" s="122"/>
      <c r="V147" s="18"/>
    </row>
    <row r="148" spans="1:22" x14ac:dyDescent="0.25">
      <c r="A148" s="14" t="s">
        <v>182</v>
      </c>
      <c r="B148" s="24" t="s">
        <v>183</v>
      </c>
      <c r="C148" s="120" t="s">
        <v>184</v>
      </c>
      <c r="D148" s="121" t="s">
        <v>184</v>
      </c>
      <c r="E148" s="121" t="s">
        <v>184</v>
      </c>
      <c r="F148" s="122" t="s">
        <v>184</v>
      </c>
      <c r="G148" s="122" t="s">
        <v>184</v>
      </c>
      <c r="H148" s="122" t="s">
        <v>184</v>
      </c>
      <c r="I148" s="122" t="s">
        <v>184</v>
      </c>
      <c r="J148" s="122" t="s">
        <v>184</v>
      </c>
      <c r="K148" s="123" t="s">
        <v>184</v>
      </c>
      <c r="L148" s="120" t="s">
        <v>184</v>
      </c>
      <c r="M148" s="121" t="s">
        <v>184</v>
      </c>
      <c r="N148" s="121" t="s">
        <v>184</v>
      </c>
      <c r="O148" s="120" t="s">
        <v>184</v>
      </c>
      <c r="P148" s="120" t="s">
        <v>184</v>
      </c>
      <c r="Q148" s="120" t="s">
        <v>184</v>
      </c>
      <c r="R148" s="120" t="s">
        <v>184</v>
      </c>
      <c r="S148" s="120" t="s">
        <v>184</v>
      </c>
      <c r="T148" s="122" t="s">
        <v>184</v>
      </c>
      <c r="U148" s="122" t="s">
        <v>184</v>
      </c>
      <c r="V148" s="122" t="s">
        <v>184</v>
      </c>
    </row>
    <row r="149" spans="1:22" x14ac:dyDescent="0.25">
      <c r="A149" s="14"/>
      <c r="B149" s="33" t="s">
        <v>185</v>
      </c>
      <c r="C149" s="34">
        <v>67930.382509999996</v>
      </c>
      <c r="D149" s="34">
        <v>53835.161469999999</v>
      </c>
      <c r="E149" s="35">
        <f t="shared" ref="E149:E150" si="94">C149-D149</f>
        <v>14095.221039999997</v>
      </c>
      <c r="F149" s="34">
        <v>69974.707439999998</v>
      </c>
      <c r="G149" s="34">
        <v>55540.707439999998</v>
      </c>
      <c r="H149" s="35">
        <f t="shared" ref="H149:H150" si="95">F149-G149</f>
        <v>14434</v>
      </c>
      <c r="I149" s="34">
        <v>82077.894849999997</v>
      </c>
      <c r="J149" s="34">
        <v>66465.707439999998</v>
      </c>
      <c r="K149" s="56">
        <f>I149-J149-178.18741</f>
        <v>15433.999999999998</v>
      </c>
      <c r="L149" s="57">
        <f>K149/E149</f>
        <v>1.094981054656806</v>
      </c>
      <c r="M149" s="34">
        <f>71718.8-178.2</f>
        <v>71540.600000000006</v>
      </c>
      <c r="N149" s="34">
        <v>55573.1</v>
      </c>
      <c r="O149" s="56">
        <f>M149-N149-178.18741</f>
        <v>15789.312590000007</v>
      </c>
      <c r="P149" s="34">
        <v>62635.947670000001</v>
      </c>
      <c r="Q149" s="34">
        <v>48217.04767</v>
      </c>
      <c r="R149" s="56">
        <f t="shared" ref="R149:R150" si="96">P149-Q149</f>
        <v>14418.900000000001</v>
      </c>
      <c r="S149" s="34">
        <v>1354</v>
      </c>
      <c r="T149" s="34">
        <v>0</v>
      </c>
      <c r="U149" s="56">
        <f t="shared" ref="U149:U150" si="97">S149-T149</f>
        <v>1354</v>
      </c>
      <c r="V149" s="36">
        <f>U149/E149</f>
        <v>9.6060927044532562E-2</v>
      </c>
    </row>
    <row r="150" spans="1:22" x14ac:dyDescent="0.25">
      <c r="A150" s="14"/>
      <c r="B150" s="125" t="s">
        <v>186</v>
      </c>
      <c r="C150" s="34">
        <v>67212.195099999997</v>
      </c>
      <c r="D150" s="34">
        <v>53835.161469999999</v>
      </c>
      <c r="E150" s="35">
        <f t="shared" si="94"/>
        <v>13377.033629999998</v>
      </c>
      <c r="F150" s="34">
        <f>F149</f>
        <v>69974.707439999998</v>
      </c>
      <c r="G150" s="34">
        <f>G149</f>
        <v>55540.707439999998</v>
      </c>
      <c r="H150" s="35">
        <f t="shared" si="95"/>
        <v>14434</v>
      </c>
      <c r="I150" s="34">
        <v>82077.894849999997</v>
      </c>
      <c r="J150" s="34">
        <v>66465.707439999998</v>
      </c>
      <c r="K150" s="56">
        <f t="shared" ref="K150" si="98">I150-J150</f>
        <v>15612.187409999999</v>
      </c>
      <c r="L150" s="57">
        <f>K150/E150</f>
        <v>1.1670888959258752</v>
      </c>
      <c r="M150" s="34">
        <v>65206.3</v>
      </c>
      <c r="N150" s="34">
        <v>49594</v>
      </c>
      <c r="O150" s="56">
        <f t="shared" ref="O150" si="99">M150-N150</f>
        <v>15612.300000000003</v>
      </c>
      <c r="P150" s="34">
        <v>62635.947670000001</v>
      </c>
      <c r="Q150" s="34">
        <v>48217.04767</v>
      </c>
      <c r="R150" s="56">
        <f t="shared" si="96"/>
        <v>14418.900000000001</v>
      </c>
      <c r="S150" s="34">
        <v>0</v>
      </c>
      <c r="T150" s="34">
        <v>0</v>
      </c>
      <c r="U150" s="56">
        <f t="shared" si="97"/>
        <v>0</v>
      </c>
      <c r="V150" s="36">
        <f>U150/E150</f>
        <v>0</v>
      </c>
    </row>
    <row r="151" spans="1:22" x14ac:dyDescent="0.25">
      <c r="A151" s="14" t="s">
        <v>187</v>
      </c>
      <c r="B151" s="126" t="s">
        <v>188</v>
      </c>
      <c r="C151" s="127">
        <f>C152</f>
        <v>106040</v>
      </c>
      <c r="D151" s="120" t="s">
        <v>184</v>
      </c>
      <c r="E151" s="121" t="s">
        <v>184</v>
      </c>
      <c r="F151" s="122" t="s">
        <v>184</v>
      </c>
      <c r="G151" s="122" t="s">
        <v>184</v>
      </c>
      <c r="H151" s="122" t="s">
        <v>184</v>
      </c>
      <c r="I151" s="122" t="s">
        <v>184</v>
      </c>
      <c r="J151" s="122" t="s">
        <v>184</v>
      </c>
      <c r="K151" s="122" t="s">
        <v>184</v>
      </c>
      <c r="L151" s="123" t="s">
        <v>184</v>
      </c>
      <c r="M151" s="124">
        <f>M152</f>
        <v>92460</v>
      </c>
      <c r="N151" s="122" t="s">
        <v>184</v>
      </c>
      <c r="O151" s="122" t="s">
        <v>184</v>
      </c>
      <c r="P151" s="94">
        <f>P152</f>
        <v>92460</v>
      </c>
      <c r="Q151" s="122" t="s">
        <v>184</v>
      </c>
      <c r="R151" s="122" t="s">
        <v>184</v>
      </c>
      <c r="S151" s="94">
        <f>S152</f>
        <v>92460</v>
      </c>
      <c r="T151" s="122" t="s">
        <v>184</v>
      </c>
      <c r="U151" s="122" t="s">
        <v>184</v>
      </c>
      <c r="V151" s="18">
        <f t="shared" ref="V151:V163" si="100">S151/C151</f>
        <v>0.87193511882308561</v>
      </c>
    </row>
    <row r="152" spans="1:22" x14ac:dyDescent="0.25">
      <c r="A152" s="14"/>
      <c r="B152" s="126" t="s">
        <v>189</v>
      </c>
      <c r="C152" s="127">
        <v>106040</v>
      </c>
      <c r="D152" s="120" t="s">
        <v>184</v>
      </c>
      <c r="E152" s="121" t="s">
        <v>184</v>
      </c>
      <c r="F152" s="122" t="s">
        <v>184</v>
      </c>
      <c r="G152" s="122" t="s">
        <v>184</v>
      </c>
      <c r="H152" s="122" t="s">
        <v>184</v>
      </c>
      <c r="I152" s="122" t="s">
        <v>184</v>
      </c>
      <c r="J152" s="122" t="s">
        <v>184</v>
      </c>
      <c r="K152" s="122" t="s">
        <v>184</v>
      </c>
      <c r="L152" s="123" t="s">
        <v>184</v>
      </c>
      <c r="M152" s="124">
        <f>106040-13580</f>
        <v>92460</v>
      </c>
      <c r="N152" s="122" t="s">
        <v>184</v>
      </c>
      <c r="O152" s="122" t="s">
        <v>184</v>
      </c>
      <c r="P152" s="94">
        <v>92460</v>
      </c>
      <c r="Q152" s="122" t="s">
        <v>184</v>
      </c>
      <c r="R152" s="122" t="s">
        <v>184</v>
      </c>
      <c r="S152" s="94">
        <f>P152</f>
        <v>92460</v>
      </c>
      <c r="T152" s="122" t="s">
        <v>184</v>
      </c>
      <c r="U152" s="122" t="s">
        <v>184</v>
      </c>
      <c r="V152" s="18">
        <f t="shared" si="100"/>
        <v>0.87193511882308561</v>
      </c>
    </row>
    <row r="153" spans="1:22" x14ac:dyDescent="0.25">
      <c r="A153" s="14"/>
      <c r="B153" s="126" t="s">
        <v>190</v>
      </c>
      <c r="C153" s="127">
        <v>0</v>
      </c>
      <c r="D153" s="120" t="s">
        <v>184</v>
      </c>
      <c r="E153" s="121" t="s">
        <v>184</v>
      </c>
      <c r="F153" s="122" t="s">
        <v>184</v>
      </c>
      <c r="G153" s="122" t="s">
        <v>184</v>
      </c>
      <c r="H153" s="122" t="s">
        <v>184</v>
      </c>
      <c r="I153" s="122" t="s">
        <v>184</v>
      </c>
      <c r="J153" s="122" t="s">
        <v>184</v>
      </c>
      <c r="K153" s="122" t="s">
        <v>184</v>
      </c>
      <c r="L153" s="123" t="s">
        <v>184</v>
      </c>
      <c r="M153" s="124"/>
      <c r="N153" s="122" t="s">
        <v>184</v>
      </c>
      <c r="O153" s="122" t="s">
        <v>184</v>
      </c>
      <c r="P153" s="124"/>
      <c r="Q153" s="122" t="s">
        <v>184</v>
      </c>
      <c r="R153" s="122" t="s">
        <v>184</v>
      </c>
      <c r="S153" s="94">
        <f>M153+S117</f>
        <v>0</v>
      </c>
      <c r="T153" s="122" t="s">
        <v>184</v>
      </c>
      <c r="U153" s="122" t="s">
        <v>184</v>
      </c>
      <c r="V153" s="18" t="e">
        <f t="shared" si="100"/>
        <v>#DIV/0!</v>
      </c>
    </row>
    <row r="154" spans="1:22" x14ac:dyDescent="0.25">
      <c r="A154" s="14"/>
      <c r="B154" s="126" t="s">
        <v>191</v>
      </c>
      <c r="C154" s="127">
        <v>0</v>
      </c>
      <c r="D154" s="120" t="s">
        <v>184</v>
      </c>
      <c r="E154" s="121" t="s">
        <v>184</v>
      </c>
      <c r="F154" s="122" t="s">
        <v>184</v>
      </c>
      <c r="G154" s="122" t="s">
        <v>184</v>
      </c>
      <c r="H154" s="122" t="s">
        <v>184</v>
      </c>
      <c r="I154" s="122" t="s">
        <v>184</v>
      </c>
      <c r="J154" s="122" t="s">
        <v>184</v>
      </c>
      <c r="K154" s="122" t="s">
        <v>184</v>
      </c>
      <c r="L154" s="123" t="s">
        <v>184</v>
      </c>
      <c r="M154" s="124"/>
      <c r="N154" s="122" t="s">
        <v>184</v>
      </c>
      <c r="O154" s="122" t="s">
        <v>184</v>
      </c>
      <c r="P154" s="124"/>
      <c r="Q154" s="122" t="s">
        <v>184</v>
      </c>
      <c r="R154" s="122" t="s">
        <v>184</v>
      </c>
      <c r="S154" s="124"/>
      <c r="T154" s="122" t="s">
        <v>184</v>
      </c>
      <c r="U154" s="122" t="s">
        <v>184</v>
      </c>
      <c r="V154" s="18" t="e">
        <f t="shared" si="100"/>
        <v>#DIV/0!</v>
      </c>
    </row>
    <row r="155" spans="1:22" ht="28.5" customHeight="1" x14ac:dyDescent="0.25">
      <c r="A155" s="14" t="s">
        <v>192</v>
      </c>
      <c r="B155" s="128" t="s">
        <v>193</v>
      </c>
      <c r="C155" s="127">
        <v>142.15</v>
      </c>
      <c r="D155" s="120" t="s">
        <v>184</v>
      </c>
      <c r="E155" s="121" t="s">
        <v>184</v>
      </c>
      <c r="F155" s="124">
        <v>116.95</v>
      </c>
      <c r="G155" s="122" t="s">
        <v>184</v>
      </c>
      <c r="H155" s="122" t="s">
        <v>184</v>
      </c>
      <c r="I155" s="124">
        <v>110.95</v>
      </c>
      <c r="J155" s="122" t="s">
        <v>184</v>
      </c>
      <c r="K155" s="122" t="s">
        <v>184</v>
      </c>
      <c r="L155" s="123">
        <f t="shared" ref="L155:L163" si="101">I155/C155</f>
        <v>0.78051354203306367</v>
      </c>
      <c r="M155" s="124">
        <v>85.45</v>
      </c>
      <c r="N155" s="122" t="s">
        <v>184</v>
      </c>
      <c r="O155" s="122" t="s">
        <v>184</v>
      </c>
      <c r="P155" s="122" t="s">
        <v>184</v>
      </c>
      <c r="Q155" s="122" t="s">
        <v>184</v>
      </c>
      <c r="R155" s="122" t="s">
        <v>184</v>
      </c>
      <c r="S155" s="124">
        <f>I155-3</f>
        <v>107.95</v>
      </c>
      <c r="T155" s="122" t="s">
        <v>184</v>
      </c>
      <c r="U155" s="122" t="s">
        <v>184</v>
      </c>
      <c r="V155" s="18">
        <f t="shared" si="100"/>
        <v>0.75940907492085818</v>
      </c>
    </row>
    <row r="156" spans="1:22" ht="38.25" x14ac:dyDescent="0.25">
      <c r="A156" s="14"/>
      <c r="B156" s="128" t="s">
        <v>194</v>
      </c>
      <c r="C156" s="127">
        <v>120.85</v>
      </c>
      <c r="D156" s="120" t="s">
        <v>184</v>
      </c>
      <c r="E156" s="121" t="s">
        <v>184</v>
      </c>
      <c r="F156" s="124">
        <v>120.85</v>
      </c>
      <c r="G156" s="122" t="s">
        <v>184</v>
      </c>
      <c r="H156" s="122" t="s">
        <v>184</v>
      </c>
      <c r="I156" s="124">
        <f>F156+2</f>
        <v>122.85</v>
      </c>
      <c r="J156" s="122" t="s">
        <v>184</v>
      </c>
      <c r="K156" s="122" t="s">
        <v>184</v>
      </c>
      <c r="L156" s="123">
        <f t="shared" si="101"/>
        <v>1.016549441456351</v>
      </c>
      <c r="M156" s="124">
        <v>98.6</v>
      </c>
      <c r="N156" s="122" t="s">
        <v>184</v>
      </c>
      <c r="O156" s="122" t="s">
        <v>184</v>
      </c>
      <c r="P156" s="122" t="s">
        <v>184</v>
      </c>
      <c r="Q156" s="122" t="s">
        <v>184</v>
      </c>
      <c r="R156" s="122" t="s">
        <v>184</v>
      </c>
      <c r="S156" s="124">
        <f>I156</f>
        <v>122.85</v>
      </c>
      <c r="T156" s="122" t="s">
        <v>184</v>
      </c>
      <c r="U156" s="122" t="s">
        <v>184</v>
      </c>
      <c r="V156" s="18">
        <f t="shared" si="100"/>
        <v>1.016549441456351</v>
      </c>
    </row>
    <row r="157" spans="1:22" ht="31.5" customHeight="1" x14ac:dyDescent="0.25">
      <c r="A157" s="14"/>
      <c r="B157" s="128" t="s">
        <v>195</v>
      </c>
      <c r="C157" s="127">
        <v>2132.1999999999998</v>
      </c>
      <c r="D157" s="120" t="s">
        <v>184</v>
      </c>
      <c r="E157" s="121" t="s">
        <v>184</v>
      </c>
      <c r="F157" s="129">
        <v>2151.5500000000002</v>
      </c>
      <c r="G157" s="122" t="s">
        <v>184</v>
      </c>
      <c r="H157" s="122" t="s">
        <v>184</v>
      </c>
      <c r="I157" s="130">
        <f>2187.3+18.76+1+1+1-1</f>
        <v>2208.0600000000004</v>
      </c>
      <c r="J157" s="122" t="s">
        <v>184</v>
      </c>
      <c r="K157" s="122" t="s">
        <v>184</v>
      </c>
      <c r="L157" s="123">
        <f t="shared" si="101"/>
        <v>1.0355782759591035</v>
      </c>
      <c r="M157" s="130">
        <f>2098.53+42.11</f>
        <v>2140.6400000000003</v>
      </c>
      <c r="N157" s="122" t="s">
        <v>184</v>
      </c>
      <c r="O157" s="122" t="s">
        <v>184</v>
      </c>
      <c r="P157" s="122" t="s">
        <v>184</v>
      </c>
      <c r="Q157" s="122" t="s">
        <v>184</v>
      </c>
      <c r="R157" s="122" t="s">
        <v>184</v>
      </c>
      <c r="S157" s="124">
        <f>I157</f>
        <v>2208.0600000000004</v>
      </c>
      <c r="T157" s="122" t="s">
        <v>184</v>
      </c>
      <c r="U157" s="122" t="s">
        <v>184</v>
      </c>
      <c r="V157" s="18">
        <f t="shared" si="100"/>
        <v>1.0355782759591035</v>
      </c>
    </row>
    <row r="158" spans="1:22" ht="40.5" customHeight="1" x14ac:dyDescent="0.25">
      <c r="A158" s="14"/>
      <c r="B158" s="128" t="s">
        <v>196</v>
      </c>
      <c r="C158" s="127">
        <v>3</v>
      </c>
      <c r="D158" s="120" t="s">
        <v>184</v>
      </c>
      <c r="E158" s="121" t="s">
        <v>184</v>
      </c>
      <c r="F158" s="129">
        <v>7</v>
      </c>
      <c r="G158" s="122" t="s">
        <v>184</v>
      </c>
      <c r="H158" s="122" t="s">
        <v>184</v>
      </c>
      <c r="I158" s="130">
        <v>7</v>
      </c>
      <c r="J158" s="122" t="s">
        <v>184</v>
      </c>
      <c r="K158" s="122" t="s">
        <v>184</v>
      </c>
      <c r="L158" s="123">
        <f t="shared" si="101"/>
        <v>2.3333333333333335</v>
      </c>
      <c r="M158" s="130">
        <v>5</v>
      </c>
      <c r="N158" s="122" t="s">
        <v>184</v>
      </c>
      <c r="O158" s="122" t="s">
        <v>184</v>
      </c>
      <c r="P158" s="122" t="s">
        <v>184</v>
      </c>
      <c r="Q158" s="122" t="s">
        <v>184</v>
      </c>
      <c r="R158" s="122" t="s">
        <v>184</v>
      </c>
      <c r="S158" s="124">
        <f>I158+3</f>
        <v>10</v>
      </c>
      <c r="T158" s="122" t="s">
        <v>184</v>
      </c>
      <c r="U158" s="122" t="s">
        <v>184</v>
      </c>
      <c r="V158" s="18">
        <f t="shared" si="100"/>
        <v>3.3333333333333335</v>
      </c>
    </row>
    <row r="159" spans="1:22" ht="23.25" customHeight="1" x14ac:dyDescent="0.25">
      <c r="A159" s="14" t="s">
        <v>197</v>
      </c>
      <c r="B159" s="132" t="s">
        <v>198</v>
      </c>
      <c r="C159" s="127">
        <f>C160+C162+C163+C161</f>
        <v>56</v>
      </c>
      <c r="D159" s="120" t="s">
        <v>184</v>
      </c>
      <c r="E159" s="121" t="s">
        <v>184</v>
      </c>
      <c r="F159" s="133">
        <f>F160+F162+F163+F161</f>
        <v>56</v>
      </c>
      <c r="G159" s="122" t="s">
        <v>184</v>
      </c>
      <c r="H159" s="122" t="s">
        <v>184</v>
      </c>
      <c r="I159" s="133">
        <f>I160+I162+I163+I161</f>
        <v>56</v>
      </c>
      <c r="J159" s="122" t="s">
        <v>184</v>
      </c>
      <c r="K159" s="122" t="s">
        <v>184</v>
      </c>
      <c r="L159" s="123">
        <f t="shared" si="101"/>
        <v>1</v>
      </c>
      <c r="M159" s="133">
        <f>M160+M162+M163+M161</f>
        <v>56</v>
      </c>
      <c r="N159" s="122" t="s">
        <v>184</v>
      </c>
      <c r="O159" s="122" t="s">
        <v>184</v>
      </c>
      <c r="P159" s="122" t="s">
        <v>184</v>
      </c>
      <c r="Q159" s="122" t="s">
        <v>184</v>
      </c>
      <c r="R159" s="122" t="s">
        <v>184</v>
      </c>
      <c r="S159" s="124">
        <f>S160+S161+S162+S163</f>
        <v>57</v>
      </c>
      <c r="T159" s="122" t="s">
        <v>184</v>
      </c>
      <c r="U159" s="122" t="s">
        <v>184</v>
      </c>
      <c r="V159" s="18">
        <f t="shared" si="100"/>
        <v>1.0178571428571428</v>
      </c>
    </row>
    <row r="160" spans="1:22" x14ac:dyDescent="0.25">
      <c r="A160" s="14"/>
      <c r="B160" s="132" t="s">
        <v>199</v>
      </c>
      <c r="C160" s="127">
        <v>6</v>
      </c>
      <c r="D160" s="120" t="s">
        <v>184</v>
      </c>
      <c r="E160" s="121" t="s">
        <v>184</v>
      </c>
      <c r="F160" s="129">
        <f>C160</f>
        <v>6</v>
      </c>
      <c r="G160" s="122" t="s">
        <v>184</v>
      </c>
      <c r="H160" s="122" t="s">
        <v>184</v>
      </c>
      <c r="I160" s="130">
        <f>F160</f>
        <v>6</v>
      </c>
      <c r="J160" s="122" t="s">
        <v>184</v>
      </c>
      <c r="K160" s="122" t="s">
        <v>184</v>
      </c>
      <c r="L160" s="123">
        <f t="shared" si="101"/>
        <v>1</v>
      </c>
      <c r="M160" s="124">
        <f>I160</f>
        <v>6</v>
      </c>
      <c r="N160" s="122" t="s">
        <v>184</v>
      </c>
      <c r="O160" s="122" t="s">
        <v>184</v>
      </c>
      <c r="P160" s="122" t="s">
        <v>184</v>
      </c>
      <c r="Q160" s="122" t="s">
        <v>184</v>
      </c>
      <c r="R160" s="122" t="s">
        <v>184</v>
      </c>
      <c r="S160" s="124">
        <f>I160+1</f>
        <v>7</v>
      </c>
      <c r="T160" s="122" t="s">
        <v>184</v>
      </c>
      <c r="U160" s="122" t="s">
        <v>184</v>
      </c>
      <c r="V160" s="18">
        <f t="shared" si="100"/>
        <v>1.1666666666666667</v>
      </c>
    </row>
    <row r="161" spans="1:22" x14ac:dyDescent="0.25">
      <c r="A161" s="14"/>
      <c r="B161" s="132" t="s">
        <v>200</v>
      </c>
      <c r="C161" s="127">
        <v>4</v>
      </c>
      <c r="D161" s="120" t="s">
        <v>184</v>
      </c>
      <c r="E161" s="121" t="s">
        <v>184</v>
      </c>
      <c r="F161" s="129">
        <f>C161</f>
        <v>4</v>
      </c>
      <c r="G161" s="122" t="s">
        <v>184</v>
      </c>
      <c r="H161" s="122" t="s">
        <v>184</v>
      </c>
      <c r="I161" s="130">
        <f>F161</f>
        <v>4</v>
      </c>
      <c r="J161" s="122" t="s">
        <v>184</v>
      </c>
      <c r="K161" s="122" t="s">
        <v>184</v>
      </c>
      <c r="L161" s="123">
        <f t="shared" si="101"/>
        <v>1</v>
      </c>
      <c r="M161" s="124">
        <f>I161</f>
        <v>4</v>
      </c>
      <c r="N161" s="122" t="s">
        <v>184</v>
      </c>
      <c r="O161" s="122" t="s">
        <v>184</v>
      </c>
      <c r="P161" s="122" t="s">
        <v>184</v>
      </c>
      <c r="Q161" s="122" t="s">
        <v>184</v>
      </c>
      <c r="R161" s="122" t="s">
        <v>184</v>
      </c>
      <c r="S161" s="124">
        <f t="shared" ref="S161:S163" si="102">I161</f>
        <v>4</v>
      </c>
      <c r="T161" s="122" t="s">
        <v>184</v>
      </c>
      <c r="U161" s="122" t="s">
        <v>184</v>
      </c>
      <c r="V161" s="18">
        <f t="shared" si="100"/>
        <v>1</v>
      </c>
    </row>
    <row r="162" spans="1:22" x14ac:dyDescent="0.25">
      <c r="A162" s="14"/>
      <c r="B162" s="132" t="s">
        <v>201</v>
      </c>
      <c r="C162" s="127">
        <v>45</v>
      </c>
      <c r="D162" s="120" t="s">
        <v>184</v>
      </c>
      <c r="E162" s="121" t="s">
        <v>184</v>
      </c>
      <c r="F162" s="129">
        <f>C162</f>
        <v>45</v>
      </c>
      <c r="G162" s="122" t="s">
        <v>184</v>
      </c>
      <c r="H162" s="122" t="s">
        <v>184</v>
      </c>
      <c r="I162" s="130">
        <f>F162+1-1</f>
        <v>45</v>
      </c>
      <c r="J162" s="122" t="s">
        <v>184</v>
      </c>
      <c r="K162" s="122" t="s">
        <v>184</v>
      </c>
      <c r="L162" s="123">
        <f t="shared" si="101"/>
        <v>1</v>
      </c>
      <c r="M162" s="124">
        <f>I162</f>
        <v>45</v>
      </c>
      <c r="N162" s="122" t="s">
        <v>184</v>
      </c>
      <c r="O162" s="122" t="s">
        <v>184</v>
      </c>
      <c r="P162" s="122" t="s">
        <v>184</v>
      </c>
      <c r="Q162" s="122" t="s">
        <v>184</v>
      </c>
      <c r="R162" s="122" t="s">
        <v>184</v>
      </c>
      <c r="S162" s="124">
        <f t="shared" si="102"/>
        <v>45</v>
      </c>
      <c r="T162" s="122" t="s">
        <v>184</v>
      </c>
      <c r="U162" s="122" t="s">
        <v>184</v>
      </c>
      <c r="V162" s="18">
        <f t="shared" si="100"/>
        <v>1</v>
      </c>
    </row>
    <row r="163" spans="1:22" x14ac:dyDescent="0.25">
      <c r="A163" s="14"/>
      <c r="B163" s="88" t="s">
        <v>202</v>
      </c>
      <c r="C163" s="127">
        <v>1</v>
      </c>
      <c r="D163" s="120" t="s">
        <v>184</v>
      </c>
      <c r="E163" s="121" t="s">
        <v>184</v>
      </c>
      <c r="F163" s="129">
        <f>C163</f>
        <v>1</v>
      </c>
      <c r="G163" s="122" t="s">
        <v>184</v>
      </c>
      <c r="H163" s="122" t="s">
        <v>184</v>
      </c>
      <c r="I163" s="130">
        <f>F163</f>
        <v>1</v>
      </c>
      <c r="J163" s="122" t="s">
        <v>184</v>
      </c>
      <c r="K163" s="122" t="s">
        <v>184</v>
      </c>
      <c r="L163" s="123">
        <f t="shared" si="101"/>
        <v>1</v>
      </c>
      <c r="M163" s="131">
        <f>I163</f>
        <v>1</v>
      </c>
      <c r="N163" s="122" t="s">
        <v>184</v>
      </c>
      <c r="O163" s="122" t="s">
        <v>184</v>
      </c>
      <c r="P163" s="122" t="s">
        <v>184</v>
      </c>
      <c r="Q163" s="122" t="s">
        <v>184</v>
      </c>
      <c r="R163" s="122" t="s">
        <v>184</v>
      </c>
      <c r="S163" s="124">
        <f t="shared" si="102"/>
        <v>1</v>
      </c>
      <c r="T163" s="122" t="s">
        <v>184</v>
      </c>
      <c r="U163" s="122" t="s">
        <v>184</v>
      </c>
      <c r="V163" s="18">
        <f t="shared" si="100"/>
        <v>1</v>
      </c>
    </row>
    <row r="164" spans="1:22" ht="25.5" x14ac:dyDescent="0.25">
      <c r="A164" s="14" t="s">
        <v>203</v>
      </c>
      <c r="B164" s="31" t="s">
        <v>204</v>
      </c>
      <c r="C164" s="114">
        <f>C55+C56+C69+C90+C91</f>
        <v>1469640.2581200001</v>
      </c>
      <c r="D164" s="114">
        <f t="shared" ref="D164:T164" si="103">D55+D56+D69+D90+D91</f>
        <v>931072.09522999998</v>
      </c>
      <c r="E164" s="134">
        <f t="shared" si="103"/>
        <v>538568.16289000004</v>
      </c>
      <c r="F164" s="114">
        <f t="shared" si="103"/>
        <v>1602161.8192599998</v>
      </c>
      <c r="G164" s="114">
        <f t="shared" si="103"/>
        <v>1005121.377</v>
      </c>
      <c r="H164" s="134">
        <f t="shared" si="103"/>
        <v>597040.44225999992</v>
      </c>
      <c r="I164" s="114">
        <f t="shared" si="103"/>
        <v>1682767.6581999999</v>
      </c>
      <c r="J164" s="114">
        <f t="shared" si="103"/>
        <v>1070321.8045600001</v>
      </c>
      <c r="K164" s="134">
        <f t="shared" si="103"/>
        <v>612445.85363999987</v>
      </c>
      <c r="L164" s="50">
        <f>K164/E164</f>
        <v>1.137174262870583</v>
      </c>
      <c r="M164" s="114">
        <f t="shared" si="103"/>
        <v>1602533.5637999999</v>
      </c>
      <c r="N164" s="114">
        <f t="shared" si="103"/>
        <v>1004939.40455</v>
      </c>
      <c r="O164" s="134">
        <f t="shared" si="103"/>
        <v>597594.15924999991</v>
      </c>
      <c r="P164" s="114">
        <f t="shared" si="103"/>
        <v>1736107.1577000001</v>
      </c>
      <c r="Q164" s="114">
        <f t="shared" si="103"/>
        <v>1099406.1976999999</v>
      </c>
      <c r="R164" s="134">
        <f t="shared" si="103"/>
        <v>636700.96000000008</v>
      </c>
      <c r="S164" s="114">
        <f t="shared" si="103"/>
        <v>23029.23</v>
      </c>
      <c r="T164" s="114">
        <f t="shared" si="103"/>
        <v>10555.1</v>
      </c>
      <c r="U164" s="134">
        <f>U55+U56+U69+U90+U91</f>
        <v>12474.130000000001</v>
      </c>
      <c r="V164" s="50">
        <f>U164/E164</f>
        <v>2.3161655031858581E-2</v>
      </c>
    </row>
    <row r="165" spans="1:22" ht="25.5" x14ac:dyDescent="0.25">
      <c r="A165" s="14" t="s">
        <v>205</v>
      </c>
      <c r="B165" s="31" t="s">
        <v>206</v>
      </c>
      <c r="C165" s="114">
        <f>C59+C76+C94</f>
        <v>166609.58411</v>
      </c>
      <c r="D165" s="114">
        <f t="shared" ref="D165:U165" si="104">D59+D76+D94</f>
        <v>8475.2292799999996</v>
      </c>
      <c r="E165" s="134">
        <f t="shared" si="104"/>
        <v>158134.35483</v>
      </c>
      <c r="F165" s="114">
        <f t="shared" si="104"/>
        <v>74199.919210000007</v>
      </c>
      <c r="G165" s="114">
        <f t="shared" si="104"/>
        <v>622.68271000000004</v>
      </c>
      <c r="H165" s="134">
        <f t="shared" si="104"/>
        <v>73577.236499999999</v>
      </c>
      <c r="I165" s="114">
        <f t="shared" si="104"/>
        <v>186983.14841000002</v>
      </c>
      <c r="J165" s="114">
        <f t="shared" si="104"/>
        <v>649.33518000000004</v>
      </c>
      <c r="K165" s="134">
        <f t="shared" si="104"/>
        <v>186333.81323</v>
      </c>
      <c r="L165" s="50">
        <f>K165/E165</f>
        <v>1.1783259458725173</v>
      </c>
      <c r="M165" s="114">
        <f t="shared" si="104"/>
        <v>159951.94009000002</v>
      </c>
      <c r="N165" s="114">
        <f t="shared" si="104"/>
        <v>585.20132000000001</v>
      </c>
      <c r="O165" s="134">
        <f t="shared" si="104"/>
        <v>159366.73877000003</v>
      </c>
      <c r="P165" s="114">
        <f t="shared" si="104"/>
        <v>171106.29161000001</v>
      </c>
      <c r="Q165" s="114">
        <f t="shared" si="104"/>
        <v>197.44499999999999</v>
      </c>
      <c r="R165" s="134">
        <f t="shared" si="104"/>
        <v>170908.84661000001</v>
      </c>
      <c r="S165" s="114">
        <f t="shared" si="104"/>
        <v>11715.599999999999</v>
      </c>
      <c r="T165" s="114">
        <f t="shared" si="104"/>
        <v>45</v>
      </c>
      <c r="U165" s="134">
        <f t="shared" si="104"/>
        <v>11670.599999999999</v>
      </c>
      <c r="V165" s="50">
        <f>U165/E165</f>
        <v>7.3801799821084452E-2</v>
      </c>
    </row>
    <row r="166" spans="1:22" s="150" customFormat="1" ht="153.75" customHeight="1" x14ac:dyDescent="0.25">
      <c r="A166" s="135" t="s">
        <v>207</v>
      </c>
      <c r="B166" s="158" t="s">
        <v>209</v>
      </c>
      <c r="C166" s="136">
        <v>147042.97</v>
      </c>
      <c r="D166" s="136">
        <v>65312.5</v>
      </c>
      <c r="E166" s="136">
        <v>81730.47</v>
      </c>
      <c r="F166" s="136">
        <f>G166+H166</f>
        <v>160220.20000000001</v>
      </c>
      <c r="G166" s="136">
        <f>287.84+70355.5</f>
        <v>70643.34</v>
      </c>
      <c r="H166" s="136">
        <f>7838.16+81738.7</f>
        <v>89576.86</v>
      </c>
      <c r="I166" s="136">
        <f>J166+K166</f>
        <v>187834.86</v>
      </c>
      <c r="J166" s="136">
        <f>81855+352.7</f>
        <v>82207.7</v>
      </c>
      <c r="K166" s="136">
        <f>95898+9729.16</f>
        <v>105627.16</v>
      </c>
      <c r="L166" s="137"/>
      <c r="M166" s="136">
        <f>N166+O166</f>
        <v>187834.86</v>
      </c>
      <c r="N166" s="136">
        <f>81855+352.7</f>
        <v>82207.7</v>
      </c>
      <c r="O166" s="136">
        <f>95898+9729.16</f>
        <v>105627.16</v>
      </c>
      <c r="P166" s="155" t="s">
        <v>184</v>
      </c>
      <c r="Q166" s="155" t="s">
        <v>184</v>
      </c>
      <c r="R166" s="155" t="s">
        <v>184</v>
      </c>
      <c r="S166" s="155" t="s">
        <v>184</v>
      </c>
      <c r="T166" s="155" t="s">
        <v>184</v>
      </c>
      <c r="U166" s="155" t="s">
        <v>184</v>
      </c>
      <c r="V166" s="137"/>
    </row>
    <row r="167" spans="1:22" s="150" customFormat="1" ht="184.5" customHeight="1" x14ac:dyDescent="0.25">
      <c r="A167" s="135" t="s">
        <v>208</v>
      </c>
      <c r="B167" s="159" t="s">
        <v>210</v>
      </c>
      <c r="C167" s="138">
        <v>669.4</v>
      </c>
      <c r="D167" s="138">
        <v>304.03332999999998</v>
      </c>
      <c r="E167" s="136">
        <v>365.36667</v>
      </c>
      <c r="F167" s="138">
        <f>G167+H167</f>
        <v>671</v>
      </c>
      <c r="G167" s="138">
        <f>2+302</f>
        <v>304</v>
      </c>
      <c r="H167" s="136">
        <f>34+333</f>
        <v>367</v>
      </c>
      <c r="I167" s="136">
        <f>J167+K167</f>
        <v>686.1</v>
      </c>
      <c r="J167" s="138">
        <f>303+2.8</f>
        <v>305.8</v>
      </c>
      <c r="K167" s="136">
        <f>343+37.3</f>
        <v>380.3</v>
      </c>
      <c r="L167" s="139"/>
      <c r="M167" s="136">
        <f>N167+O167</f>
        <v>686.1</v>
      </c>
      <c r="N167" s="138">
        <f>303+2.8</f>
        <v>305.8</v>
      </c>
      <c r="O167" s="136">
        <f>343+37.3</f>
        <v>380.3</v>
      </c>
      <c r="P167" s="155" t="s">
        <v>184</v>
      </c>
      <c r="Q167" s="155" t="s">
        <v>184</v>
      </c>
      <c r="R167" s="155" t="s">
        <v>184</v>
      </c>
      <c r="S167" s="155" t="s">
        <v>184</v>
      </c>
      <c r="T167" s="155" t="s">
        <v>184</v>
      </c>
      <c r="U167" s="155" t="s">
        <v>184</v>
      </c>
      <c r="V167" s="139"/>
    </row>
    <row r="168" spans="1:22" s="150" customFormat="1" x14ac:dyDescent="0.25">
      <c r="B168" s="151"/>
      <c r="C168" s="152"/>
      <c r="D168" s="152"/>
      <c r="E168" s="153"/>
      <c r="F168" s="152"/>
      <c r="G168" s="152"/>
      <c r="H168" s="153"/>
      <c r="I168" s="152"/>
      <c r="J168" s="152"/>
      <c r="K168" s="153"/>
      <c r="L168" s="154"/>
      <c r="M168" s="152"/>
      <c r="N168" s="152"/>
      <c r="O168" s="153"/>
      <c r="P168" s="152"/>
      <c r="Q168" s="152"/>
      <c r="R168" s="153"/>
      <c r="S168" s="152"/>
      <c r="T168" s="152"/>
      <c r="U168" s="153"/>
      <c r="V168" s="154"/>
    </row>
    <row r="169" spans="1:22" s="150" customFormat="1" ht="15.75" x14ac:dyDescent="0.25">
      <c r="B169" s="140" t="s">
        <v>217</v>
      </c>
      <c r="C169" s="141"/>
      <c r="D169" s="141"/>
      <c r="E169" s="142"/>
      <c r="F169" s="143"/>
      <c r="G169" s="143"/>
      <c r="H169" s="143"/>
      <c r="I169" s="144"/>
      <c r="J169" s="144"/>
      <c r="K169" s="144"/>
      <c r="L169" s="145"/>
      <c r="M169" s="146"/>
      <c r="N169" s="146"/>
      <c r="O169" s="146"/>
      <c r="P169" s="146"/>
      <c r="Q169" s="146"/>
      <c r="R169" s="146"/>
      <c r="S169" s="161"/>
      <c r="T169" s="161"/>
      <c r="U169" s="161"/>
      <c r="V169" s="147"/>
    </row>
    <row r="170" spans="1:22" s="150" customFormat="1" ht="15.75" x14ac:dyDescent="0.25">
      <c r="B170" s="140" t="s">
        <v>218</v>
      </c>
      <c r="C170" s="141"/>
      <c r="D170" s="141"/>
      <c r="E170" s="142"/>
      <c r="F170" s="143"/>
      <c r="G170" s="143"/>
      <c r="H170" s="143"/>
      <c r="I170" s="144"/>
      <c r="J170" s="144"/>
      <c r="K170" s="144"/>
      <c r="L170" s="145"/>
      <c r="M170" s="146"/>
      <c r="N170" s="146"/>
      <c r="O170" s="146"/>
      <c r="P170" s="146"/>
      <c r="Q170" s="146"/>
      <c r="R170" s="146"/>
      <c r="S170" s="146"/>
      <c r="T170" s="146"/>
      <c r="U170" s="146"/>
      <c r="V170" s="147"/>
    </row>
    <row r="171" spans="1:22" s="150" customFormat="1" ht="15.75" x14ac:dyDescent="0.25">
      <c r="B171" s="140"/>
      <c r="C171" s="141"/>
      <c r="D171" s="141"/>
      <c r="E171" s="142"/>
      <c r="F171" s="143"/>
      <c r="G171" s="143"/>
      <c r="H171" s="143"/>
      <c r="I171" s="144"/>
      <c r="J171" s="144"/>
      <c r="K171" s="144"/>
      <c r="L171" s="145"/>
      <c r="M171" s="146"/>
      <c r="N171" s="146"/>
      <c r="O171" s="146"/>
      <c r="P171" s="146"/>
      <c r="Q171" s="146"/>
      <c r="R171" s="146"/>
      <c r="S171" s="146"/>
      <c r="T171" s="146"/>
      <c r="U171" s="161"/>
      <c r="V171" s="147"/>
    </row>
    <row r="172" spans="1:22" s="150" customFormat="1" ht="15.75" x14ac:dyDescent="0.25">
      <c r="B172" s="140" t="s">
        <v>224</v>
      </c>
      <c r="C172" s="141"/>
      <c r="D172" s="141"/>
      <c r="E172" s="142"/>
      <c r="F172" s="143"/>
      <c r="G172" s="143"/>
      <c r="H172" s="143"/>
      <c r="I172" s="144"/>
      <c r="J172" s="144"/>
      <c r="K172" s="144"/>
      <c r="L172" s="145"/>
      <c r="M172" s="146"/>
      <c r="N172" s="146"/>
      <c r="O172" s="146"/>
      <c r="P172" s="146"/>
      <c r="Q172" s="146"/>
      <c r="R172" s="146"/>
      <c r="S172" s="146"/>
      <c r="T172" s="146"/>
      <c r="U172" s="146"/>
      <c r="V172" s="147"/>
    </row>
    <row r="173" spans="1:22" s="150" customFormat="1" ht="15.75" x14ac:dyDescent="0.25">
      <c r="B173" s="141"/>
      <c r="C173" s="141"/>
      <c r="D173" s="141"/>
      <c r="E173" s="142"/>
      <c r="F173" s="143"/>
      <c r="G173" s="143"/>
      <c r="H173" s="143"/>
      <c r="I173" s="144"/>
      <c r="J173" s="144"/>
      <c r="K173" s="144"/>
      <c r="L173" s="145"/>
      <c r="M173" s="146"/>
      <c r="N173" s="146"/>
      <c r="O173" s="146"/>
      <c r="P173" s="146"/>
      <c r="Q173" s="146"/>
      <c r="R173" s="146"/>
      <c r="S173" s="146"/>
      <c r="T173" s="146"/>
      <c r="U173" s="146"/>
      <c r="V173" s="147"/>
    </row>
    <row r="174" spans="1:22" s="150" customFormat="1" x14ac:dyDescent="0.25">
      <c r="B174" s="148"/>
      <c r="C174" s="148"/>
      <c r="D174" s="148"/>
      <c r="E174" s="149"/>
      <c r="F174" s="143"/>
      <c r="G174" s="143"/>
      <c r="H174" s="143"/>
      <c r="I174" s="144"/>
      <c r="J174" s="144"/>
      <c r="K174" s="144"/>
      <c r="L174" s="145"/>
      <c r="M174" s="146"/>
      <c r="N174" s="146"/>
      <c r="O174" s="146"/>
      <c r="P174" s="146"/>
      <c r="Q174" s="146"/>
      <c r="R174" s="146"/>
      <c r="S174" s="146"/>
      <c r="T174" s="146"/>
      <c r="U174" s="146"/>
      <c r="V174" s="147"/>
    </row>
    <row r="175" spans="1:22" s="150" customFormat="1" x14ac:dyDescent="0.25"/>
    <row r="176" spans="1:22" s="150" customFormat="1" x14ac:dyDescent="0.25"/>
    <row r="177" spans="2:7" x14ac:dyDescent="0.25">
      <c r="B177" s="150"/>
      <c r="C177" s="150"/>
      <c r="D177" s="150"/>
      <c r="E177" s="150"/>
      <c r="F177" s="150"/>
      <c r="G177" s="150"/>
    </row>
    <row r="178" spans="2:7" x14ac:dyDescent="0.25">
      <c r="B178" s="150"/>
      <c r="C178" s="150"/>
      <c r="D178" s="150"/>
      <c r="E178" s="150"/>
      <c r="F178" s="150"/>
      <c r="G178" s="150"/>
    </row>
    <row r="179" spans="2:7" x14ac:dyDescent="0.25">
      <c r="B179" s="150"/>
      <c r="C179" s="150"/>
      <c r="D179" s="150"/>
      <c r="E179" s="150"/>
      <c r="F179" s="150"/>
      <c r="G179" s="150"/>
    </row>
    <row r="180" spans="2:7" x14ac:dyDescent="0.25">
      <c r="B180" s="150"/>
      <c r="C180" s="150"/>
      <c r="D180" s="150"/>
      <c r="E180" s="150"/>
      <c r="F180" s="150"/>
      <c r="G180" s="150"/>
    </row>
    <row r="181" spans="2:7" x14ac:dyDescent="0.25">
      <c r="B181" s="150"/>
      <c r="C181" s="150"/>
      <c r="D181" s="150"/>
      <c r="E181" s="150"/>
      <c r="F181" s="150"/>
      <c r="G181" s="150"/>
    </row>
    <row r="182" spans="2:7" x14ac:dyDescent="0.25">
      <c r="B182" s="150"/>
      <c r="C182" s="150"/>
      <c r="D182" s="150"/>
      <c r="E182" s="150"/>
      <c r="F182" s="150"/>
      <c r="G182" s="150"/>
    </row>
    <row r="183" spans="2:7" x14ac:dyDescent="0.25">
      <c r="B183" s="150"/>
      <c r="C183" s="150"/>
      <c r="D183" s="150"/>
      <c r="E183" s="150"/>
      <c r="F183" s="150"/>
      <c r="G183" s="150"/>
    </row>
    <row r="184" spans="2:7" x14ac:dyDescent="0.25">
      <c r="B184" s="150"/>
      <c r="C184" s="150"/>
      <c r="D184" s="150"/>
      <c r="E184" s="150"/>
      <c r="F184" s="150"/>
      <c r="G184" s="150"/>
    </row>
    <row r="185" spans="2:7" x14ac:dyDescent="0.25">
      <c r="B185" s="150"/>
      <c r="C185" s="150"/>
      <c r="D185" s="150"/>
      <c r="E185" s="150"/>
      <c r="F185" s="150"/>
      <c r="G185" s="150"/>
    </row>
    <row r="186" spans="2:7" x14ac:dyDescent="0.25">
      <c r="B186" s="150"/>
      <c r="C186" s="150"/>
      <c r="D186" s="150"/>
      <c r="E186" s="150"/>
      <c r="F186" s="150"/>
      <c r="G186" s="150"/>
    </row>
    <row r="187" spans="2:7" x14ac:dyDescent="0.25">
      <c r="B187" s="150"/>
      <c r="C187" s="150"/>
      <c r="D187" s="150"/>
      <c r="E187" s="150"/>
      <c r="F187" s="150"/>
      <c r="G187" s="150"/>
    </row>
    <row r="188" spans="2:7" x14ac:dyDescent="0.25">
      <c r="B188" s="150"/>
      <c r="C188" s="150"/>
      <c r="D188" s="150"/>
      <c r="E188" s="150"/>
      <c r="F188" s="150"/>
      <c r="G188" s="150"/>
    </row>
    <row r="189" spans="2:7" x14ac:dyDescent="0.25">
      <c r="B189" s="150"/>
      <c r="C189" s="150"/>
      <c r="D189" s="150"/>
      <c r="E189" s="150"/>
      <c r="F189" s="150"/>
      <c r="G189" s="150"/>
    </row>
    <row r="190" spans="2:7" x14ac:dyDescent="0.25">
      <c r="B190" s="150"/>
      <c r="C190" s="150"/>
      <c r="D190" s="150"/>
      <c r="E190" s="150"/>
      <c r="F190" s="150"/>
      <c r="G190" s="150"/>
    </row>
    <row r="191" spans="2:7" x14ac:dyDescent="0.25">
      <c r="B191" s="150"/>
      <c r="C191" s="150"/>
      <c r="D191" s="150"/>
      <c r="E191" s="150"/>
      <c r="F191" s="150"/>
      <c r="G191" s="150"/>
    </row>
    <row r="192" spans="2:7" x14ac:dyDescent="0.25">
      <c r="B192" s="150"/>
      <c r="C192" s="150"/>
      <c r="D192" s="150"/>
      <c r="E192" s="150"/>
      <c r="F192" s="150"/>
      <c r="G192" s="150"/>
    </row>
  </sheetData>
  <mergeCells count="25">
    <mergeCell ref="C1:R1"/>
    <mergeCell ref="A2:A5"/>
    <mergeCell ref="B2:B5"/>
    <mergeCell ref="C2:E2"/>
    <mergeCell ref="F2:V2"/>
    <mergeCell ref="C3:E3"/>
    <mergeCell ref="F3:H3"/>
    <mergeCell ref="I3:K3"/>
    <mergeCell ref="V3:V5"/>
    <mergeCell ref="C4:C5"/>
    <mergeCell ref="D4:E4"/>
    <mergeCell ref="P3:R3"/>
    <mergeCell ref="S3:U3"/>
    <mergeCell ref="N4:O4"/>
    <mergeCell ref="P4:P5"/>
    <mergeCell ref="Q4:R4"/>
    <mergeCell ref="S4:S5"/>
    <mergeCell ref="T4:U4"/>
    <mergeCell ref="F4:F5"/>
    <mergeCell ref="G4:H4"/>
    <mergeCell ref="I4:I5"/>
    <mergeCell ref="J4:K4"/>
    <mergeCell ref="M4:M5"/>
    <mergeCell ref="L3:L5"/>
    <mergeCell ref="M3:O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Пикина Надежда Анатольевна</cp:lastModifiedBy>
  <cp:lastPrinted>2022-03-11T15:07:47Z</cp:lastPrinted>
  <dcterms:created xsi:type="dcterms:W3CDTF">2020-02-03T08:43:29Z</dcterms:created>
  <dcterms:modified xsi:type="dcterms:W3CDTF">2023-02-13T07:48:04Z</dcterms:modified>
</cp:coreProperties>
</file>