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workbookProtection lockStructure="1"/>
  <bookViews>
    <workbookView xWindow="0" yWindow="0" windowWidth="25440" windowHeight="12435"/>
  </bookViews>
  <sheets>
    <sheet name="Лист1" sheetId="1" r:id="rId1"/>
    <sheet name="Лист2" sheetId="2" r:id="rId2"/>
    <sheet name="Лист3" sheetId="3" r:id="rId3"/>
  </sheets>
  <definedNames>
    <definedName name="_xlnm.Print_Titles" localSheetId="0">Лист1!$2:$5</definedName>
    <definedName name="_xlnm.Print_Area" localSheetId="0">Лист1!$A$1:$AB$173</definedName>
  </definedNames>
  <calcPr calcId="145621"/>
</workbook>
</file>

<file path=xl/calcChain.xml><?xml version="1.0" encoding="utf-8"?>
<calcChain xmlns="http://schemas.openxmlformats.org/spreadsheetml/2006/main">
  <c r="S67" i="1" l="1"/>
  <c r="O74" i="1"/>
  <c r="O71" i="1"/>
  <c r="O70" i="1"/>
  <c r="O69" i="1"/>
  <c r="O67" i="1"/>
  <c r="V149" i="1" l="1"/>
  <c r="T149" i="1"/>
  <c r="G78" i="1"/>
  <c r="F78" i="1"/>
  <c r="G77" i="1"/>
  <c r="F77" i="1"/>
  <c r="F76" i="1"/>
  <c r="G74" i="1"/>
  <c r="F74" i="1"/>
  <c r="F71" i="1"/>
  <c r="G70" i="1"/>
  <c r="F70" i="1"/>
  <c r="G69" i="1"/>
  <c r="F69" i="1"/>
  <c r="G67" i="1"/>
  <c r="F67" i="1"/>
  <c r="J78" i="1" l="1"/>
  <c r="J77" i="1"/>
  <c r="I78" i="1"/>
  <c r="I77" i="1"/>
  <c r="I76" i="1"/>
  <c r="J74" i="1"/>
  <c r="I74" i="1"/>
  <c r="I71" i="1"/>
  <c r="J70" i="1"/>
  <c r="I70" i="1"/>
  <c r="J69" i="1"/>
  <c r="I69" i="1"/>
  <c r="J67" i="1"/>
  <c r="I67" i="1"/>
  <c r="J76" i="1"/>
  <c r="Z69" i="1" l="1"/>
  <c r="Z70" i="1"/>
  <c r="Z73" i="1"/>
  <c r="Z74" i="1"/>
  <c r="Z77" i="1"/>
  <c r="Z78" i="1"/>
  <c r="Z67" i="1"/>
  <c r="Y78" i="1"/>
  <c r="Y77" i="1"/>
  <c r="Y76" i="1"/>
  <c r="Y74" i="1"/>
  <c r="Y73" i="1"/>
  <c r="Y71" i="1"/>
  <c r="Y70" i="1"/>
  <c r="Y69" i="1"/>
  <c r="Y67" i="1"/>
  <c r="N168" i="1" l="1"/>
  <c r="M168" i="1"/>
  <c r="L168" i="1"/>
  <c r="Q167" i="1"/>
  <c r="P167" i="1"/>
  <c r="O167" i="1"/>
  <c r="W137" i="1" l="1"/>
  <c r="W65" i="1"/>
  <c r="V43" i="1"/>
  <c r="V45" i="1"/>
  <c r="S125" i="1"/>
  <c r="S124" i="1"/>
  <c r="U167" i="1" l="1"/>
  <c r="U168" i="1"/>
  <c r="T168" i="1"/>
  <c r="T167" i="1"/>
  <c r="Q168" i="1"/>
  <c r="P168" i="1"/>
  <c r="AA168" i="1" l="1"/>
  <c r="Z168" i="1"/>
  <c r="AA167" i="1"/>
  <c r="Z167" i="1"/>
  <c r="S168" i="1"/>
  <c r="S167" i="1"/>
  <c r="O168" i="1"/>
  <c r="V137" i="1"/>
  <c r="W135" i="1"/>
  <c r="V135" i="1"/>
  <c r="W132" i="1"/>
  <c r="Y135" i="1"/>
  <c r="Z135" i="1"/>
  <c r="Y57" i="1"/>
  <c r="Y62" i="1"/>
  <c r="Y80" i="1"/>
  <c r="Y43" i="1"/>
  <c r="Z57" i="1"/>
  <c r="Y61" i="1"/>
  <c r="S94" i="1" l="1"/>
  <c r="O94" i="1"/>
  <c r="S78" i="1"/>
  <c r="S77" i="1"/>
  <c r="S76" i="1"/>
  <c r="O78" i="1"/>
  <c r="O77" i="1"/>
  <c r="O76" i="1"/>
  <c r="T60" i="1" l="1"/>
  <c r="T59" i="1"/>
  <c r="S61" i="1"/>
  <c r="S60" i="1"/>
  <c r="S59" i="1"/>
  <c r="P61" i="1"/>
  <c r="P60" i="1"/>
  <c r="P59" i="1"/>
  <c r="O61" i="1"/>
  <c r="O60" i="1"/>
  <c r="O59" i="1"/>
  <c r="V87" i="1" l="1"/>
  <c r="V53" i="1"/>
  <c r="S95" i="1" l="1"/>
  <c r="S93" i="1"/>
  <c r="O95" i="1"/>
  <c r="O93" i="1"/>
  <c r="T78" i="1"/>
  <c r="T77" i="1"/>
  <c r="T74" i="1"/>
  <c r="T70" i="1"/>
  <c r="T69" i="1"/>
  <c r="T67" i="1"/>
  <c r="S73" i="1"/>
  <c r="P78" i="1"/>
  <c r="P77" i="1"/>
  <c r="P74" i="1"/>
  <c r="P73" i="1"/>
  <c r="P70" i="1"/>
  <c r="P69" i="1"/>
  <c r="P67" i="1"/>
  <c r="O73" i="1"/>
  <c r="T61" i="1" l="1"/>
  <c r="T63" i="1" l="1"/>
  <c r="T62" i="1"/>
  <c r="T57" i="1"/>
  <c r="T55" i="1"/>
  <c r="P62" i="1"/>
  <c r="P57" i="1"/>
  <c r="P53" i="1"/>
  <c r="T49" i="1"/>
  <c r="T48" i="1"/>
  <c r="T33" i="1"/>
  <c r="T31" i="1"/>
  <c r="S128" i="1"/>
  <c r="S62" i="1"/>
  <c r="S55" i="1"/>
  <c r="S53" i="1" s="1"/>
  <c r="O82" i="1"/>
  <c r="O63" i="1"/>
  <c r="O62" i="1"/>
  <c r="O53" i="1"/>
  <c r="S103" i="1"/>
  <c r="S84" i="1" s="1"/>
  <c r="S99" i="1"/>
  <c r="S91" i="1"/>
  <c r="S57" i="1" s="1"/>
  <c r="S90" i="1"/>
  <c r="S89" i="1"/>
  <c r="S87" i="1" s="1"/>
  <c r="O99" i="1"/>
  <c r="O103" i="1"/>
  <c r="O84" i="1" s="1"/>
  <c r="O91" i="1"/>
  <c r="O57" i="1" s="1"/>
  <c r="O87" i="1"/>
  <c r="O90" i="1"/>
  <c r="O89" i="1"/>
  <c r="S120" i="1"/>
  <c r="S49" i="1"/>
  <c r="S48" i="1"/>
  <c r="S33" i="1"/>
  <c r="S32" i="1"/>
  <c r="S31" i="1"/>
  <c r="S25" i="1"/>
  <c r="O46" i="1"/>
  <c r="O45" i="1"/>
  <c r="O44" i="1"/>
  <c r="O43" i="1"/>
  <c r="O41" i="1"/>
  <c r="O40" i="1"/>
  <c r="O33" i="1"/>
  <c r="O32" i="1"/>
  <c r="O31" i="1"/>
  <c r="O30" i="1"/>
  <c r="O29" i="1"/>
  <c r="O27" i="1"/>
  <c r="O19" i="1"/>
  <c r="O18" i="1"/>
  <c r="O17" i="1"/>
  <c r="O14" i="1"/>
  <c r="O16" i="1"/>
  <c r="O13" i="1"/>
  <c r="O11" i="1"/>
  <c r="O10" i="1"/>
  <c r="O39" i="1" l="1"/>
  <c r="I95" i="1"/>
  <c r="I94" i="1"/>
  <c r="I93" i="1"/>
  <c r="J60" i="1"/>
  <c r="I60" i="1"/>
  <c r="J59" i="1"/>
  <c r="I59" i="1"/>
  <c r="J84" i="1" l="1"/>
  <c r="J80" i="1" s="1"/>
  <c r="J62" i="1"/>
  <c r="J55" i="1"/>
  <c r="J31" i="1"/>
  <c r="J65" i="1"/>
  <c r="J138" i="1"/>
  <c r="J133" i="1"/>
  <c r="I90" i="1"/>
  <c r="I84" i="1"/>
  <c r="I83" i="1"/>
  <c r="I57" i="1"/>
  <c r="I55" i="1"/>
  <c r="I45" i="1"/>
  <c r="I41" i="1"/>
  <c r="I40" i="1"/>
  <c r="I36" i="1"/>
  <c r="I33" i="1"/>
  <c r="I32" i="1"/>
  <c r="I31" i="1"/>
  <c r="I30" i="1"/>
  <c r="I27" i="1"/>
  <c r="I19" i="1"/>
  <c r="I18" i="1"/>
  <c r="I17" i="1"/>
  <c r="I16" i="1"/>
  <c r="I14" i="1"/>
  <c r="I13" i="1"/>
  <c r="I11" i="1"/>
  <c r="I10" i="1"/>
  <c r="I106" i="1"/>
  <c r="I131" i="1"/>
  <c r="F167" i="1"/>
  <c r="F150" i="1"/>
  <c r="F149" i="1"/>
  <c r="I149" i="1" s="1"/>
  <c r="I150" i="1" s="1"/>
  <c r="F142" i="1"/>
  <c r="I142" i="1" s="1"/>
  <c r="G141" i="1"/>
  <c r="J141" i="1" s="1"/>
  <c r="F141" i="1"/>
  <c r="I141" i="1" s="1"/>
  <c r="G140" i="1"/>
  <c r="J140" i="1" s="1"/>
  <c r="F140" i="1"/>
  <c r="I140" i="1" s="1"/>
  <c r="G138" i="1"/>
  <c r="F138" i="1"/>
  <c r="I138" i="1" s="1"/>
  <c r="G137" i="1"/>
  <c r="J137" i="1" s="1"/>
  <c r="F137" i="1"/>
  <c r="I137" i="1" s="1"/>
  <c r="G135" i="1"/>
  <c r="J135" i="1" s="1"/>
  <c r="F135" i="1"/>
  <c r="I135" i="1" s="1"/>
  <c r="G134" i="1"/>
  <c r="J134" i="1" s="1"/>
  <c r="F134" i="1"/>
  <c r="I134" i="1" s="1"/>
  <c r="G133" i="1"/>
  <c r="F133" i="1"/>
  <c r="I133" i="1" s="1"/>
  <c r="F132" i="1"/>
  <c r="I132" i="1" s="1"/>
  <c r="G131" i="1"/>
  <c r="J131" i="1" s="1"/>
  <c r="F127" i="1"/>
  <c r="I127" i="1"/>
  <c r="F125" i="1"/>
  <c r="I125" i="1" s="1"/>
  <c r="F124" i="1"/>
  <c r="I124" i="1" s="1"/>
  <c r="F120" i="1"/>
  <c r="I120" i="1" s="1"/>
  <c r="G106" i="1"/>
  <c r="J106" i="1" s="1"/>
  <c r="F106" i="1"/>
  <c r="F101" i="1"/>
  <c r="I101" i="1" s="1"/>
  <c r="F96" i="1"/>
  <c r="I96" i="1" s="1"/>
  <c r="G91" i="1"/>
  <c r="J91" i="1" s="1"/>
  <c r="F91" i="1"/>
  <c r="I91" i="1" s="1"/>
  <c r="F90" i="1"/>
  <c r="F89" i="1"/>
  <c r="I89" i="1" s="1"/>
  <c r="F87" i="1"/>
  <c r="I87" i="1" s="1"/>
  <c r="G65" i="1"/>
  <c r="F65" i="1"/>
  <c r="I65" i="1" s="1"/>
  <c r="G62" i="1"/>
  <c r="F62" i="1"/>
  <c r="I62" i="1" s="1"/>
  <c r="G57" i="1"/>
  <c r="J57" i="1" s="1"/>
  <c r="F57" i="1"/>
  <c r="G56" i="1"/>
  <c r="J56" i="1" s="1"/>
  <c r="F56" i="1"/>
  <c r="I56" i="1" s="1"/>
  <c r="G55" i="1"/>
  <c r="F55" i="1"/>
  <c r="G53" i="1"/>
  <c r="J53" i="1" s="1"/>
  <c r="F53" i="1"/>
  <c r="I53" i="1" s="1"/>
  <c r="G49" i="1"/>
  <c r="J49" i="1" s="1"/>
  <c r="G48" i="1"/>
  <c r="J48" i="1" s="1"/>
  <c r="F49" i="1"/>
  <c r="I49" i="1" s="1"/>
  <c r="F48" i="1"/>
  <c r="I48" i="1" s="1"/>
  <c r="F46" i="1"/>
  <c r="I46" i="1" s="1"/>
  <c r="F45" i="1"/>
  <c r="F43" i="1"/>
  <c r="I43" i="1" s="1"/>
  <c r="F36" i="1"/>
  <c r="F25" i="1"/>
  <c r="I25" i="1" s="1"/>
  <c r="W53" i="1"/>
  <c r="Y118" i="1" l="1"/>
  <c r="V118" i="1" l="1"/>
  <c r="V128" i="1" s="1"/>
  <c r="Y150" i="1" l="1"/>
  <c r="Z138" i="1"/>
  <c r="Z141" i="1"/>
  <c r="Z132" i="1"/>
  <c r="Z65" i="1"/>
  <c r="Y103" i="1" l="1"/>
  <c r="Y99" i="1" s="1"/>
  <c r="Z62" i="1"/>
  <c r="Z56" i="1"/>
  <c r="Z55" i="1"/>
  <c r="Y41" i="1"/>
  <c r="Y40" i="1"/>
  <c r="Y27" i="1"/>
  <c r="Y25" i="1"/>
  <c r="Z84" i="1"/>
  <c r="Y85" i="1"/>
  <c r="Y79" i="1"/>
  <c r="Y93" i="1"/>
  <c r="Y168" i="1" l="1"/>
  <c r="Y167" i="1"/>
  <c r="Z61" i="1"/>
  <c r="Z60" i="1"/>
  <c r="Y82" i="1" l="1"/>
  <c r="S82" i="1"/>
  <c r="Y83" i="1"/>
  <c r="Y56" i="1"/>
  <c r="Y55" i="1"/>
  <c r="T82" i="1"/>
  <c r="Z82" i="1"/>
  <c r="Y96" i="1"/>
  <c r="Y90" i="1"/>
  <c r="Y89" i="1"/>
  <c r="Y87" i="1" l="1"/>
  <c r="F168" i="1" l="1"/>
  <c r="G132" i="1" l="1"/>
  <c r="J132" i="1" s="1"/>
  <c r="F103" i="1"/>
  <c r="I103" i="1" s="1"/>
  <c r="F99" i="1" l="1"/>
  <c r="C128" i="1"/>
  <c r="U106" i="1" l="1"/>
  <c r="Q106" i="1"/>
  <c r="N106" i="1"/>
  <c r="N167" i="1" l="1"/>
  <c r="M167" i="1"/>
  <c r="W44" i="1" l="1"/>
  <c r="W43" i="1"/>
  <c r="W46" i="1"/>
  <c r="W45" i="1"/>
  <c r="W87" i="1"/>
  <c r="W80" i="1"/>
  <c r="V80" i="1"/>
  <c r="C149" i="1" l="1"/>
  <c r="Z79" i="1" l="1"/>
  <c r="C155" i="1" l="1"/>
  <c r="L167" i="1" l="1"/>
  <c r="S118" i="1" l="1"/>
  <c r="D78" i="1"/>
  <c r="D77" i="1"/>
  <c r="D74" i="1"/>
  <c r="D70" i="1"/>
  <c r="D69" i="1"/>
  <c r="D67" i="1"/>
  <c r="C78" i="1" l="1"/>
  <c r="C77" i="1"/>
  <c r="C76" i="1"/>
  <c r="T80" i="1" l="1"/>
  <c r="T53" i="1"/>
  <c r="T47" i="1"/>
  <c r="T46" i="1"/>
  <c r="T45" i="1"/>
  <c r="T44" i="1"/>
  <c r="T43" i="1"/>
  <c r="O118" i="1"/>
  <c r="L118" i="1"/>
  <c r="P80" i="1" l="1"/>
  <c r="Z80" i="1" s="1"/>
  <c r="S80" i="1"/>
  <c r="O80" i="1"/>
  <c r="Z44" i="1"/>
  <c r="Z45" i="1"/>
  <c r="Z46" i="1"/>
  <c r="Z43" i="1"/>
  <c r="M45" i="1"/>
  <c r="O164" i="1" l="1"/>
  <c r="Y164" i="1" s="1"/>
  <c r="O163" i="1"/>
  <c r="Y163" i="1" s="1"/>
  <c r="O162" i="1"/>
  <c r="Y162" i="1" s="1"/>
  <c r="O161" i="1"/>
  <c r="Y161" i="1" s="1"/>
  <c r="O158" i="1"/>
  <c r="Y158" i="1" s="1"/>
  <c r="Y157" i="1"/>
  <c r="O156" i="1"/>
  <c r="Y156" i="1" s="1"/>
  <c r="Y155" i="1"/>
  <c r="Y153" i="1"/>
  <c r="P47" i="1"/>
  <c r="P46" i="1"/>
  <c r="P45" i="1"/>
  <c r="P44" i="1"/>
  <c r="P43" i="1"/>
  <c r="Y113" i="1" l="1"/>
  <c r="Y152" i="1" s="1"/>
  <c r="Y151" i="1" s="1"/>
  <c r="D94" i="1"/>
  <c r="C95" i="1"/>
  <c r="D61" i="1"/>
  <c r="D60" i="1"/>
  <c r="C94" i="1" l="1"/>
  <c r="C93" i="1"/>
  <c r="C61" i="1" l="1"/>
  <c r="C60" i="1"/>
  <c r="D59" i="1"/>
  <c r="C59" i="1"/>
  <c r="L99" i="1" l="1"/>
  <c r="L87" i="1"/>
  <c r="L95" i="1"/>
  <c r="L94" i="1"/>
  <c r="L93" i="1"/>
  <c r="M87" i="1"/>
  <c r="L80" i="1"/>
  <c r="M80" i="1"/>
  <c r="M61" i="1"/>
  <c r="L61" i="1"/>
  <c r="M60" i="1"/>
  <c r="L60" i="1"/>
  <c r="M59" i="1"/>
  <c r="L59" i="1"/>
  <c r="M55" i="1"/>
  <c r="M53" i="1" s="1"/>
  <c r="L55" i="1"/>
  <c r="L53" i="1" s="1"/>
  <c r="M44" i="1"/>
  <c r="M46" i="1"/>
  <c r="M47" i="1"/>
  <c r="M43" i="1"/>
  <c r="L25" i="1"/>
  <c r="O25" i="1" s="1"/>
  <c r="H106" i="1" l="1"/>
  <c r="I82" i="1"/>
  <c r="I102" i="1"/>
  <c r="J87" i="1"/>
  <c r="I47" i="1"/>
  <c r="J47" i="1" s="1"/>
  <c r="J46" i="1"/>
  <c r="I44" i="1"/>
  <c r="J44" i="1" s="1"/>
  <c r="J45" i="1"/>
  <c r="J43" i="1"/>
  <c r="J36" i="1"/>
  <c r="K106" i="1"/>
  <c r="I143" i="1"/>
  <c r="I136" i="1"/>
  <c r="I152" i="1"/>
  <c r="I151" i="1" s="1"/>
  <c r="F151" i="1"/>
  <c r="G93" i="1"/>
  <c r="G61" i="1"/>
  <c r="F61" i="1"/>
  <c r="I118" i="1" l="1"/>
  <c r="I99" i="1"/>
  <c r="G44" i="1"/>
  <c r="G45" i="1"/>
  <c r="G46" i="1"/>
  <c r="G47" i="1"/>
  <c r="G43" i="1"/>
  <c r="G99" i="1"/>
  <c r="F118" i="1"/>
  <c r="G80" i="1"/>
  <c r="G87" i="1"/>
  <c r="C49" i="1"/>
  <c r="C48" i="1"/>
  <c r="D44" i="1"/>
  <c r="D45" i="1"/>
  <c r="D46" i="1"/>
  <c r="D47" i="1"/>
  <c r="D43" i="1"/>
  <c r="C36" i="1"/>
  <c r="C33" i="1"/>
  <c r="C31" i="1"/>
  <c r="C27" i="1"/>
  <c r="C25" i="1"/>
  <c r="F80" i="1" l="1"/>
  <c r="I80" i="1"/>
  <c r="C63" i="1"/>
  <c r="D62" i="1"/>
  <c r="D57" i="1"/>
  <c r="D53" i="1"/>
  <c r="C53" i="1"/>
  <c r="C103" i="1"/>
  <c r="C84" i="1" s="1"/>
  <c r="D99" i="1"/>
  <c r="C96" i="1"/>
  <c r="C62" i="1" s="1"/>
  <c r="C91" i="1"/>
  <c r="C57" i="1" s="1"/>
  <c r="C90" i="1"/>
  <c r="C89" i="1"/>
  <c r="D87" i="1"/>
  <c r="D84" i="1"/>
  <c r="D83" i="1"/>
  <c r="C83" i="1"/>
  <c r="D82" i="1"/>
  <c r="C82" i="1"/>
  <c r="C118" i="1"/>
  <c r="C124" i="1"/>
  <c r="C125" i="1" s="1"/>
  <c r="E168" i="1"/>
  <c r="D168" i="1"/>
  <c r="E167" i="1"/>
  <c r="D167" i="1"/>
  <c r="C151" i="1"/>
  <c r="C167" i="1" l="1"/>
  <c r="C168" i="1"/>
  <c r="C99" i="1"/>
  <c r="C80" i="1"/>
  <c r="D80" i="1"/>
  <c r="C87" i="1"/>
  <c r="C86" i="1" l="1"/>
  <c r="C66" i="1"/>
  <c r="O86" i="1"/>
  <c r="Y159" i="1" l="1"/>
  <c r="O159" i="1"/>
  <c r="L159" i="1"/>
  <c r="C159" i="1"/>
  <c r="AB159" i="1" l="1"/>
  <c r="R159" i="1"/>
  <c r="C123" i="1"/>
  <c r="AA20" i="1" l="1"/>
  <c r="AA19" i="1"/>
  <c r="X19" i="1"/>
  <c r="X18" i="1"/>
  <c r="U19" i="1"/>
  <c r="Q19" i="1"/>
  <c r="N19" i="1"/>
  <c r="K19" i="1"/>
  <c r="H19" i="1"/>
  <c r="E19" i="1"/>
  <c r="Z166" i="1"/>
  <c r="Y166" i="1"/>
  <c r="W166" i="1"/>
  <c r="V166" i="1"/>
  <c r="T166" i="1"/>
  <c r="S166" i="1"/>
  <c r="P166" i="1"/>
  <c r="O166" i="1"/>
  <c r="M166" i="1"/>
  <c r="L166" i="1"/>
  <c r="J166" i="1"/>
  <c r="I166" i="1"/>
  <c r="G166" i="1"/>
  <c r="F166" i="1"/>
  <c r="D166" i="1"/>
  <c r="C166" i="1"/>
  <c r="Z165" i="1"/>
  <c r="Y165" i="1"/>
  <c r="W165" i="1"/>
  <c r="V165" i="1"/>
  <c r="T165" i="1"/>
  <c r="S165" i="1"/>
  <c r="P165" i="1"/>
  <c r="O165" i="1"/>
  <c r="M165" i="1"/>
  <c r="L165" i="1"/>
  <c r="J165" i="1"/>
  <c r="I165" i="1"/>
  <c r="G165" i="1"/>
  <c r="F165" i="1"/>
  <c r="D165" i="1"/>
  <c r="C165" i="1"/>
  <c r="AB164" i="1"/>
  <c r="R164" i="1"/>
  <c r="AB163" i="1"/>
  <c r="R163" i="1"/>
  <c r="AB162" i="1"/>
  <c r="R162" i="1"/>
  <c r="AB161" i="1"/>
  <c r="R161" i="1"/>
  <c r="S160" i="1"/>
  <c r="O160" i="1"/>
  <c r="Y160" i="1" s="1"/>
  <c r="L160" i="1"/>
  <c r="C160" i="1"/>
  <c r="AB158" i="1"/>
  <c r="R158" i="1"/>
  <c r="AB157" i="1"/>
  <c r="R157" i="1"/>
  <c r="AB156" i="1"/>
  <c r="R156" i="1"/>
  <c r="AB155" i="1"/>
  <c r="R155" i="1"/>
  <c r="AB154" i="1"/>
  <c r="AB153" i="1"/>
  <c r="AB152" i="1"/>
  <c r="AB151" i="1"/>
  <c r="AA150" i="1"/>
  <c r="X150" i="1"/>
  <c r="U150" i="1"/>
  <c r="Q150" i="1"/>
  <c r="N150" i="1"/>
  <c r="K150" i="1"/>
  <c r="H150" i="1"/>
  <c r="E150" i="1"/>
  <c r="AA149" i="1"/>
  <c r="X149" i="1"/>
  <c r="U149" i="1"/>
  <c r="Q149" i="1"/>
  <c r="N149" i="1"/>
  <c r="K149" i="1"/>
  <c r="H149" i="1"/>
  <c r="E149" i="1"/>
  <c r="Z145" i="1"/>
  <c r="Y145" i="1"/>
  <c r="W145" i="1"/>
  <c r="V145" i="1"/>
  <c r="T145" i="1"/>
  <c r="S145" i="1"/>
  <c r="P145" i="1"/>
  <c r="O145" i="1"/>
  <c r="M145" i="1"/>
  <c r="L145" i="1"/>
  <c r="J145" i="1"/>
  <c r="I145" i="1"/>
  <c r="G145" i="1"/>
  <c r="F145" i="1"/>
  <c r="D145" i="1"/>
  <c r="C145" i="1"/>
  <c r="AA144" i="1"/>
  <c r="X144" i="1"/>
  <c r="U144" i="1"/>
  <c r="Q144" i="1"/>
  <c r="N144" i="1"/>
  <c r="K144" i="1"/>
  <c r="H144" i="1"/>
  <c r="E144" i="1"/>
  <c r="AA143" i="1"/>
  <c r="X143" i="1"/>
  <c r="U143" i="1"/>
  <c r="Q143" i="1"/>
  <c r="N143" i="1"/>
  <c r="K143" i="1"/>
  <c r="H143" i="1"/>
  <c r="E143" i="1"/>
  <c r="AA142" i="1"/>
  <c r="X142" i="1"/>
  <c r="U142" i="1"/>
  <c r="Q142" i="1"/>
  <c r="N142" i="1"/>
  <c r="K142" i="1"/>
  <c r="H142" i="1"/>
  <c r="E142" i="1"/>
  <c r="AA141" i="1"/>
  <c r="X141" i="1"/>
  <c r="U141" i="1"/>
  <c r="Q141" i="1"/>
  <c r="N141" i="1"/>
  <c r="K141" i="1"/>
  <c r="H141" i="1"/>
  <c r="E141" i="1"/>
  <c r="AA140" i="1"/>
  <c r="X140" i="1"/>
  <c r="U140" i="1"/>
  <c r="Q140" i="1"/>
  <c r="N140" i="1"/>
  <c r="K140" i="1"/>
  <c r="H140" i="1"/>
  <c r="E140" i="1"/>
  <c r="AA139" i="1"/>
  <c r="X139" i="1"/>
  <c r="U139" i="1"/>
  <c r="Q139" i="1"/>
  <c r="N139" i="1"/>
  <c r="K139" i="1"/>
  <c r="H139" i="1"/>
  <c r="E139" i="1"/>
  <c r="AA138" i="1"/>
  <c r="X138" i="1"/>
  <c r="U138" i="1"/>
  <c r="Q138" i="1"/>
  <c r="N138" i="1"/>
  <c r="K138" i="1"/>
  <c r="H138" i="1"/>
  <c r="E138" i="1"/>
  <c r="AA137" i="1"/>
  <c r="X137" i="1"/>
  <c r="U137" i="1"/>
  <c r="Q137" i="1"/>
  <c r="N137" i="1"/>
  <c r="K137" i="1"/>
  <c r="H137" i="1"/>
  <c r="E137" i="1"/>
  <c r="AA136" i="1"/>
  <c r="X136" i="1"/>
  <c r="U136" i="1"/>
  <c r="Q136" i="1"/>
  <c r="N136" i="1"/>
  <c r="K136" i="1"/>
  <c r="H136" i="1"/>
  <c r="E136" i="1"/>
  <c r="AA135" i="1"/>
  <c r="X135" i="1"/>
  <c r="U135" i="1"/>
  <c r="Q135" i="1"/>
  <c r="N135" i="1"/>
  <c r="K135" i="1"/>
  <c r="H135" i="1"/>
  <c r="E135" i="1"/>
  <c r="AA134" i="1"/>
  <c r="X134" i="1"/>
  <c r="U134" i="1"/>
  <c r="Q134" i="1"/>
  <c r="N134" i="1"/>
  <c r="K134" i="1"/>
  <c r="H134" i="1"/>
  <c r="E134" i="1"/>
  <c r="AA133" i="1"/>
  <c r="X133" i="1"/>
  <c r="U133" i="1"/>
  <c r="Q133" i="1"/>
  <c r="N133" i="1"/>
  <c r="K133" i="1"/>
  <c r="H133" i="1"/>
  <c r="E133" i="1"/>
  <c r="AA132" i="1"/>
  <c r="X132" i="1"/>
  <c r="U132" i="1"/>
  <c r="Q132" i="1"/>
  <c r="N132" i="1"/>
  <c r="K132" i="1"/>
  <c r="H132" i="1"/>
  <c r="E132" i="1"/>
  <c r="AA131" i="1"/>
  <c r="X131" i="1"/>
  <c r="U131" i="1"/>
  <c r="Q131" i="1"/>
  <c r="N131" i="1"/>
  <c r="K131" i="1"/>
  <c r="H131" i="1"/>
  <c r="H145" i="1" s="1"/>
  <c r="E131" i="1"/>
  <c r="Z130" i="1"/>
  <c r="Y130" i="1"/>
  <c r="W130" i="1"/>
  <c r="V130" i="1"/>
  <c r="T130" i="1"/>
  <c r="S130" i="1"/>
  <c r="P130" i="1"/>
  <c r="O130" i="1"/>
  <c r="M130" i="1"/>
  <c r="L130" i="1"/>
  <c r="J130" i="1"/>
  <c r="I130" i="1"/>
  <c r="G130" i="1"/>
  <c r="F130" i="1"/>
  <c r="D130" i="1"/>
  <c r="C130" i="1"/>
  <c r="AB129" i="1"/>
  <c r="Y123" i="1"/>
  <c r="S123" i="1"/>
  <c r="I123" i="1"/>
  <c r="F123" i="1"/>
  <c r="Y115" i="1"/>
  <c r="V115" i="1"/>
  <c r="S115" i="1"/>
  <c r="O115" i="1"/>
  <c r="L115" i="1"/>
  <c r="I115" i="1"/>
  <c r="F115" i="1"/>
  <c r="C115" i="1"/>
  <c r="Y110" i="1"/>
  <c r="V110" i="1"/>
  <c r="S110" i="1"/>
  <c r="O110" i="1"/>
  <c r="L110" i="1"/>
  <c r="I110" i="1"/>
  <c r="F110" i="1"/>
  <c r="C110" i="1"/>
  <c r="AA103" i="1"/>
  <c r="X103" i="1"/>
  <c r="U103" i="1"/>
  <c r="Q103" i="1"/>
  <c r="N103" i="1"/>
  <c r="K103" i="1"/>
  <c r="H103" i="1"/>
  <c r="E103" i="1"/>
  <c r="AA102" i="1"/>
  <c r="X102" i="1"/>
  <c r="U102" i="1"/>
  <c r="Q102" i="1"/>
  <c r="N102" i="1"/>
  <c r="K102" i="1"/>
  <c r="H102" i="1"/>
  <c r="E102" i="1"/>
  <c r="AA101" i="1"/>
  <c r="X101" i="1"/>
  <c r="U101" i="1"/>
  <c r="Q101" i="1"/>
  <c r="N101" i="1"/>
  <c r="K101" i="1"/>
  <c r="H101" i="1"/>
  <c r="E101" i="1"/>
  <c r="AA99" i="1"/>
  <c r="X99" i="1"/>
  <c r="U99" i="1"/>
  <c r="Q99" i="1"/>
  <c r="N99" i="1"/>
  <c r="K99" i="1"/>
  <c r="H99" i="1"/>
  <c r="E99" i="1"/>
  <c r="AA98" i="1"/>
  <c r="X98" i="1"/>
  <c r="U98" i="1"/>
  <c r="Q98" i="1"/>
  <c r="N98" i="1"/>
  <c r="K98" i="1"/>
  <c r="H98" i="1"/>
  <c r="E98" i="1"/>
  <c r="AA97" i="1"/>
  <c r="X97" i="1"/>
  <c r="U97" i="1"/>
  <c r="Q97" i="1"/>
  <c r="N97" i="1"/>
  <c r="K97" i="1"/>
  <c r="H97" i="1"/>
  <c r="E97" i="1"/>
  <c r="AA96" i="1"/>
  <c r="X96" i="1"/>
  <c r="U96" i="1"/>
  <c r="Q96" i="1"/>
  <c r="N96" i="1"/>
  <c r="K96" i="1"/>
  <c r="H96" i="1"/>
  <c r="E96" i="1"/>
  <c r="AA95" i="1"/>
  <c r="X95" i="1"/>
  <c r="U95" i="1"/>
  <c r="Q95" i="1"/>
  <c r="N95" i="1"/>
  <c r="K95" i="1"/>
  <c r="H95" i="1"/>
  <c r="E95" i="1"/>
  <c r="AA94" i="1"/>
  <c r="X94" i="1"/>
  <c r="U94" i="1"/>
  <c r="Q94" i="1"/>
  <c r="N94" i="1"/>
  <c r="K94" i="1"/>
  <c r="H94" i="1"/>
  <c r="E94" i="1"/>
  <c r="AA93" i="1"/>
  <c r="X93" i="1"/>
  <c r="U93" i="1"/>
  <c r="Q93" i="1"/>
  <c r="N93" i="1"/>
  <c r="K93" i="1"/>
  <c r="H93" i="1"/>
  <c r="E93" i="1"/>
  <c r="AA91" i="1"/>
  <c r="X91" i="1"/>
  <c r="U91" i="1"/>
  <c r="Q91" i="1"/>
  <c r="N91" i="1"/>
  <c r="K91" i="1"/>
  <c r="H91" i="1"/>
  <c r="E91" i="1"/>
  <c r="AA90" i="1"/>
  <c r="X90" i="1"/>
  <c r="U90" i="1"/>
  <c r="Q90" i="1"/>
  <c r="N90" i="1"/>
  <c r="K90" i="1"/>
  <c r="H90" i="1"/>
  <c r="E90" i="1"/>
  <c r="AA89" i="1"/>
  <c r="X89" i="1"/>
  <c r="U89" i="1"/>
  <c r="Q89" i="1"/>
  <c r="N89" i="1"/>
  <c r="K89" i="1"/>
  <c r="H89" i="1"/>
  <c r="E89" i="1"/>
  <c r="AA87" i="1"/>
  <c r="X87" i="1"/>
  <c r="U87" i="1"/>
  <c r="Q87" i="1"/>
  <c r="N87" i="1"/>
  <c r="K87" i="1"/>
  <c r="H87" i="1"/>
  <c r="E87" i="1"/>
  <c r="Z86" i="1"/>
  <c r="Y86" i="1"/>
  <c r="W86" i="1"/>
  <c r="V86" i="1"/>
  <c r="T86" i="1"/>
  <c r="S86" i="1"/>
  <c r="P86" i="1"/>
  <c r="M86" i="1"/>
  <c r="L86" i="1"/>
  <c r="J86" i="1"/>
  <c r="I86" i="1"/>
  <c r="G86" i="1"/>
  <c r="F86" i="1"/>
  <c r="D86" i="1"/>
  <c r="AA85" i="1"/>
  <c r="X85" i="1"/>
  <c r="U85" i="1"/>
  <c r="Q85" i="1"/>
  <c r="N85" i="1"/>
  <c r="K85" i="1"/>
  <c r="H85" i="1"/>
  <c r="E85" i="1"/>
  <c r="AA84" i="1"/>
  <c r="X84" i="1"/>
  <c r="U84" i="1"/>
  <c r="Q84" i="1"/>
  <c r="N84" i="1"/>
  <c r="K84" i="1"/>
  <c r="H84" i="1"/>
  <c r="E84" i="1"/>
  <c r="AA83" i="1"/>
  <c r="X83" i="1"/>
  <c r="U83" i="1"/>
  <c r="Q83" i="1"/>
  <c r="N83" i="1"/>
  <c r="K83" i="1"/>
  <c r="H83" i="1"/>
  <c r="E83" i="1"/>
  <c r="AA82" i="1"/>
  <c r="X82" i="1"/>
  <c r="U82" i="1"/>
  <c r="Q82" i="1"/>
  <c r="N82" i="1"/>
  <c r="K82" i="1"/>
  <c r="H82" i="1"/>
  <c r="E82" i="1"/>
  <c r="AA80" i="1"/>
  <c r="X80" i="1"/>
  <c r="U80" i="1"/>
  <c r="Q80" i="1"/>
  <c r="N80" i="1"/>
  <c r="K80" i="1"/>
  <c r="H80" i="1"/>
  <c r="E80" i="1"/>
  <c r="AA79" i="1"/>
  <c r="X79" i="1"/>
  <c r="U79" i="1"/>
  <c r="Q79" i="1"/>
  <c r="N79" i="1"/>
  <c r="K79" i="1"/>
  <c r="H79" i="1"/>
  <c r="E79" i="1"/>
  <c r="AA78" i="1"/>
  <c r="X78" i="1"/>
  <c r="U78" i="1"/>
  <c r="Q78" i="1"/>
  <c r="N78" i="1"/>
  <c r="K78" i="1"/>
  <c r="H78" i="1"/>
  <c r="E78" i="1"/>
  <c r="AA77" i="1"/>
  <c r="X77" i="1"/>
  <c r="U77" i="1"/>
  <c r="Q77" i="1"/>
  <c r="N77" i="1"/>
  <c r="K77" i="1"/>
  <c r="H77" i="1"/>
  <c r="E77" i="1"/>
  <c r="AA76" i="1"/>
  <c r="X76" i="1"/>
  <c r="U76" i="1"/>
  <c r="Q76" i="1"/>
  <c r="N76" i="1"/>
  <c r="K76" i="1"/>
  <c r="H76" i="1"/>
  <c r="E76" i="1"/>
  <c r="AA74" i="1"/>
  <c r="X74" i="1"/>
  <c r="U74" i="1"/>
  <c r="Q74" i="1"/>
  <c r="N74" i="1"/>
  <c r="K74" i="1"/>
  <c r="H74" i="1"/>
  <c r="E74" i="1"/>
  <c r="AA73" i="1"/>
  <c r="X73" i="1"/>
  <c r="U73" i="1"/>
  <c r="Q73" i="1"/>
  <c r="N73" i="1"/>
  <c r="K73" i="1"/>
  <c r="H73" i="1"/>
  <c r="E73" i="1"/>
  <c r="AA72" i="1"/>
  <c r="X72" i="1"/>
  <c r="U72" i="1"/>
  <c r="Q72" i="1"/>
  <c r="N72" i="1"/>
  <c r="K72" i="1"/>
  <c r="H72" i="1"/>
  <c r="E72" i="1"/>
  <c r="AA71" i="1"/>
  <c r="X71" i="1"/>
  <c r="U71" i="1"/>
  <c r="Q71" i="1"/>
  <c r="N71" i="1"/>
  <c r="K71" i="1"/>
  <c r="H71" i="1"/>
  <c r="E71" i="1"/>
  <c r="AA70" i="1"/>
  <c r="X70" i="1"/>
  <c r="U70" i="1"/>
  <c r="Q70" i="1"/>
  <c r="N70" i="1"/>
  <c r="K70" i="1"/>
  <c r="H70" i="1"/>
  <c r="E70" i="1"/>
  <c r="AA69" i="1"/>
  <c r="X69" i="1"/>
  <c r="U69" i="1"/>
  <c r="Q69" i="1"/>
  <c r="N69" i="1"/>
  <c r="K69" i="1"/>
  <c r="H69" i="1"/>
  <c r="E69" i="1"/>
  <c r="AA67" i="1"/>
  <c r="X67" i="1"/>
  <c r="U67" i="1"/>
  <c r="Q67" i="1"/>
  <c r="N67" i="1"/>
  <c r="K67" i="1"/>
  <c r="H67" i="1"/>
  <c r="E67" i="1"/>
  <c r="Z66" i="1"/>
  <c r="Y66" i="1"/>
  <c r="W66" i="1"/>
  <c r="V66" i="1"/>
  <c r="T66" i="1"/>
  <c r="S66" i="1"/>
  <c r="P66" i="1"/>
  <c r="O66" i="1"/>
  <c r="M66" i="1"/>
  <c r="L66" i="1"/>
  <c r="J66" i="1"/>
  <c r="I66" i="1"/>
  <c r="G66" i="1"/>
  <c r="F66" i="1"/>
  <c r="D66" i="1"/>
  <c r="AA65" i="1"/>
  <c r="X65" i="1"/>
  <c r="U65" i="1"/>
  <c r="Q65" i="1"/>
  <c r="N65" i="1"/>
  <c r="K65" i="1"/>
  <c r="H65" i="1"/>
  <c r="E65" i="1"/>
  <c r="AA64" i="1"/>
  <c r="X64" i="1"/>
  <c r="U64" i="1"/>
  <c r="Q64" i="1"/>
  <c r="N64" i="1"/>
  <c r="K64" i="1"/>
  <c r="H64" i="1"/>
  <c r="E64" i="1"/>
  <c r="AA63" i="1"/>
  <c r="X63" i="1"/>
  <c r="U63" i="1"/>
  <c r="Q63" i="1"/>
  <c r="N63" i="1"/>
  <c r="K63" i="1"/>
  <c r="H63" i="1"/>
  <c r="E63" i="1"/>
  <c r="AA62" i="1"/>
  <c r="X62" i="1"/>
  <c r="U62" i="1"/>
  <c r="Q62" i="1"/>
  <c r="N62" i="1"/>
  <c r="K62" i="1"/>
  <c r="H62" i="1"/>
  <c r="E62" i="1"/>
  <c r="AA61" i="1"/>
  <c r="X61" i="1"/>
  <c r="U61" i="1"/>
  <c r="Q61" i="1"/>
  <c r="N61" i="1"/>
  <c r="K61" i="1"/>
  <c r="H61" i="1"/>
  <c r="E61" i="1"/>
  <c r="AA60" i="1"/>
  <c r="X60" i="1"/>
  <c r="U60" i="1"/>
  <c r="Q60" i="1"/>
  <c r="N60" i="1"/>
  <c r="K60" i="1"/>
  <c r="H60" i="1"/>
  <c r="E60" i="1"/>
  <c r="AA59" i="1"/>
  <c r="X59" i="1"/>
  <c r="U59" i="1"/>
  <c r="Q59" i="1"/>
  <c r="N59" i="1"/>
  <c r="K59" i="1"/>
  <c r="H59" i="1"/>
  <c r="E59" i="1"/>
  <c r="AA57" i="1"/>
  <c r="X57" i="1"/>
  <c r="U57" i="1"/>
  <c r="Q57" i="1"/>
  <c r="N57" i="1"/>
  <c r="K57" i="1"/>
  <c r="H57" i="1"/>
  <c r="E57" i="1"/>
  <c r="AA56" i="1"/>
  <c r="X56" i="1"/>
  <c r="U56" i="1"/>
  <c r="Q56" i="1"/>
  <c r="N56" i="1"/>
  <c r="K56" i="1"/>
  <c r="H56" i="1"/>
  <c r="E56" i="1"/>
  <c r="AA55" i="1"/>
  <c r="X55" i="1"/>
  <c r="U55" i="1"/>
  <c r="Q55" i="1"/>
  <c r="N55" i="1"/>
  <c r="K55" i="1"/>
  <c r="H55" i="1"/>
  <c r="E55" i="1"/>
  <c r="AA53" i="1"/>
  <c r="X53" i="1"/>
  <c r="U53" i="1"/>
  <c r="Q53" i="1"/>
  <c r="N53" i="1"/>
  <c r="K53" i="1"/>
  <c r="H53" i="1"/>
  <c r="E53" i="1"/>
  <c r="Z52" i="1"/>
  <c r="Y52" i="1"/>
  <c r="Y51" i="1" s="1"/>
  <c r="Y104" i="1" s="1"/>
  <c r="W52" i="1"/>
  <c r="V52" i="1"/>
  <c r="T52" i="1"/>
  <c r="S52" i="1"/>
  <c r="S51" i="1" s="1"/>
  <c r="S104" i="1" s="1"/>
  <c r="P52" i="1"/>
  <c r="O52" i="1"/>
  <c r="O51" i="1" s="1"/>
  <c r="O104" i="1" s="1"/>
  <c r="M52" i="1"/>
  <c r="L52" i="1"/>
  <c r="J52" i="1"/>
  <c r="I52" i="1"/>
  <c r="G52" i="1"/>
  <c r="F52" i="1"/>
  <c r="D52" i="1"/>
  <c r="D51" i="1" s="1"/>
  <c r="D104" i="1" s="1"/>
  <c r="D146" i="1" s="1"/>
  <c r="C52" i="1"/>
  <c r="C51" i="1" s="1"/>
  <c r="C104" i="1" s="1"/>
  <c r="AA49" i="1"/>
  <c r="X49" i="1"/>
  <c r="U49" i="1"/>
  <c r="Q49" i="1"/>
  <c r="N49" i="1"/>
  <c r="K49" i="1"/>
  <c r="H49" i="1"/>
  <c r="E49" i="1"/>
  <c r="AA48" i="1"/>
  <c r="X48" i="1"/>
  <c r="U48" i="1"/>
  <c r="Q48" i="1"/>
  <c r="N48" i="1"/>
  <c r="K48" i="1"/>
  <c r="H48" i="1"/>
  <c r="E48" i="1"/>
  <c r="AA47" i="1"/>
  <c r="X47" i="1"/>
  <c r="U47" i="1"/>
  <c r="Q47" i="1"/>
  <c r="N47" i="1"/>
  <c r="K47" i="1"/>
  <c r="H47" i="1"/>
  <c r="E47" i="1"/>
  <c r="AA46" i="1"/>
  <c r="X46" i="1"/>
  <c r="U46" i="1"/>
  <c r="Q46" i="1"/>
  <c r="N46" i="1"/>
  <c r="K46" i="1"/>
  <c r="H46" i="1"/>
  <c r="E46" i="1"/>
  <c r="AA45" i="1"/>
  <c r="X45" i="1"/>
  <c r="U45" i="1"/>
  <c r="Q45" i="1"/>
  <c r="N45" i="1"/>
  <c r="K45" i="1"/>
  <c r="H45" i="1"/>
  <c r="E45" i="1"/>
  <c r="AA44" i="1"/>
  <c r="X44" i="1"/>
  <c r="U44" i="1"/>
  <c r="Q44" i="1"/>
  <c r="N44" i="1"/>
  <c r="K44" i="1"/>
  <c r="H44" i="1"/>
  <c r="E44" i="1"/>
  <c r="AA43" i="1"/>
  <c r="X43" i="1"/>
  <c r="U43" i="1"/>
  <c r="Q43" i="1"/>
  <c r="N43" i="1"/>
  <c r="K43" i="1"/>
  <c r="H43" i="1"/>
  <c r="E43" i="1"/>
  <c r="AA42" i="1"/>
  <c r="X42" i="1"/>
  <c r="U42" i="1"/>
  <c r="Q42" i="1"/>
  <c r="N42" i="1"/>
  <c r="K42" i="1"/>
  <c r="H42" i="1"/>
  <c r="E42" i="1"/>
  <c r="AA41" i="1"/>
  <c r="X41" i="1"/>
  <c r="U41" i="1"/>
  <c r="Q41" i="1"/>
  <c r="N41" i="1"/>
  <c r="K41" i="1"/>
  <c r="H41" i="1"/>
  <c r="E41" i="1"/>
  <c r="AA40" i="1"/>
  <c r="X40" i="1"/>
  <c r="U40" i="1"/>
  <c r="Q40" i="1"/>
  <c r="N40" i="1"/>
  <c r="K40" i="1"/>
  <c r="H40" i="1"/>
  <c r="E40" i="1"/>
  <c r="Y39" i="1"/>
  <c r="AA39" i="1" s="1"/>
  <c r="V39" i="1"/>
  <c r="X39" i="1" s="1"/>
  <c r="S39" i="1"/>
  <c r="U39" i="1" s="1"/>
  <c r="Q39" i="1"/>
  <c r="L39" i="1"/>
  <c r="N39" i="1" s="1"/>
  <c r="I39" i="1"/>
  <c r="K39" i="1" s="1"/>
  <c r="F39" i="1"/>
  <c r="H39" i="1" s="1"/>
  <c r="C39" i="1"/>
  <c r="E39" i="1" s="1"/>
  <c r="Z38" i="1"/>
  <c r="Z37" i="1" s="1"/>
  <c r="W38" i="1"/>
  <c r="W37" i="1" s="1"/>
  <c r="T38" i="1"/>
  <c r="T37" i="1" s="1"/>
  <c r="P38" i="1"/>
  <c r="P37" i="1" s="1"/>
  <c r="M38" i="1"/>
  <c r="M37" i="1" s="1"/>
  <c r="J38" i="1"/>
  <c r="J37" i="1" s="1"/>
  <c r="G38" i="1"/>
  <c r="G37" i="1" s="1"/>
  <c r="D38" i="1"/>
  <c r="D37" i="1" s="1"/>
  <c r="AA36" i="1"/>
  <c r="X36" i="1"/>
  <c r="U36" i="1"/>
  <c r="Q36" i="1"/>
  <c r="N36" i="1"/>
  <c r="K36" i="1"/>
  <c r="H36" i="1"/>
  <c r="E36" i="1"/>
  <c r="AA35" i="1"/>
  <c r="X35" i="1"/>
  <c r="U35" i="1"/>
  <c r="Q35" i="1"/>
  <c r="N35" i="1"/>
  <c r="K35" i="1"/>
  <c r="H35" i="1"/>
  <c r="E35" i="1"/>
  <c r="AA33" i="1"/>
  <c r="X33" i="1"/>
  <c r="U33" i="1"/>
  <c r="Q33" i="1"/>
  <c r="N33" i="1"/>
  <c r="K33" i="1"/>
  <c r="H33" i="1"/>
  <c r="E33" i="1"/>
  <c r="AA32" i="1"/>
  <c r="X32" i="1"/>
  <c r="U32" i="1"/>
  <c r="Q32" i="1"/>
  <c r="N32" i="1"/>
  <c r="K32" i="1"/>
  <c r="H32" i="1"/>
  <c r="E32" i="1"/>
  <c r="AA31" i="1"/>
  <c r="X31" i="1"/>
  <c r="U31" i="1"/>
  <c r="Q31" i="1"/>
  <c r="N31" i="1"/>
  <c r="K31" i="1"/>
  <c r="H31" i="1"/>
  <c r="E31" i="1"/>
  <c r="AA30" i="1"/>
  <c r="X30" i="1"/>
  <c r="U30" i="1"/>
  <c r="Q30" i="1"/>
  <c r="N30" i="1"/>
  <c r="K30" i="1"/>
  <c r="H30" i="1"/>
  <c r="E30" i="1"/>
  <c r="AA29" i="1"/>
  <c r="X29" i="1"/>
  <c r="U29" i="1"/>
  <c r="Q29" i="1"/>
  <c r="N29" i="1"/>
  <c r="K29" i="1"/>
  <c r="H29" i="1"/>
  <c r="E29" i="1"/>
  <c r="AA28" i="1"/>
  <c r="X28" i="1"/>
  <c r="U28" i="1"/>
  <c r="Q28" i="1"/>
  <c r="N28" i="1"/>
  <c r="K28" i="1"/>
  <c r="H28" i="1"/>
  <c r="E28" i="1"/>
  <c r="AA27" i="1"/>
  <c r="X27" i="1"/>
  <c r="U27" i="1"/>
  <c r="Q27" i="1"/>
  <c r="N27" i="1"/>
  <c r="K27" i="1"/>
  <c r="H27" i="1"/>
  <c r="E27" i="1"/>
  <c r="AA26" i="1"/>
  <c r="X26" i="1"/>
  <c r="U26" i="1"/>
  <c r="Q26" i="1"/>
  <c r="N26" i="1"/>
  <c r="K26" i="1"/>
  <c r="H26" i="1"/>
  <c r="E26" i="1"/>
  <c r="AA25" i="1"/>
  <c r="X25" i="1"/>
  <c r="U25" i="1"/>
  <c r="Q25" i="1"/>
  <c r="N25" i="1"/>
  <c r="K25" i="1"/>
  <c r="H25" i="1"/>
  <c r="E25" i="1"/>
  <c r="AA24" i="1"/>
  <c r="X24" i="1"/>
  <c r="U24" i="1"/>
  <c r="Q24" i="1"/>
  <c r="N24" i="1"/>
  <c r="K24" i="1"/>
  <c r="H24" i="1"/>
  <c r="E24" i="1"/>
  <c r="AA23" i="1"/>
  <c r="X23" i="1"/>
  <c r="U23" i="1"/>
  <c r="Q23" i="1"/>
  <c r="N23" i="1"/>
  <c r="K23" i="1"/>
  <c r="H23" i="1"/>
  <c r="E23" i="1"/>
  <c r="Z21" i="1"/>
  <c r="Z7" i="1" s="1"/>
  <c r="Y21" i="1"/>
  <c r="W21" i="1"/>
  <c r="V21" i="1"/>
  <c r="T21" i="1"/>
  <c r="T7" i="1" s="1"/>
  <c r="S21" i="1"/>
  <c r="P21" i="1"/>
  <c r="P7" i="1" s="1"/>
  <c r="O21" i="1"/>
  <c r="M21" i="1"/>
  <c r="L21" i="1"/>
  <c r="J21" i="1"/>
  <c r="J7" i="1" s="1"/>
  <c r="I21" i="1"/>
  <c r="G21" i="1"/>
  <c r="G7" i="1" s="1"/>
  <c r="F21" i="1"/>
  <c r="D21" i="1"/>
  <c r="D7" i="1" s="1"/>
  <c r="C21" i="1"/>
  <c r="X20" i="1"/>
  <c r="U20" i="1"/>
  <c r="Q20" i="1"/>
  <c r="N20" i="1"/>
  <c r="K20" i="1"/>
  <c r="H20" i="1"/>
  <c r="E20" i="1"/>
  <c r="AA18" i="1"/>
  <c r="U18" i="1"/>
  <c r="Q18" i="1"/>
  <c r="N18" i="1"/>
  <c r="K18" i="1"/>
  <c r="H18" i="1"/>
  <c r="E18" i="1"/>
  <c r="AA17" i="1"/>
  <c r="X17" i="1"/>
  <c r="U17" i="1"/>
  <c r="Q17" i="1"/>
  <c r="N17" i="1"/>
  <c r="K17" i="1"/>
  <c r="H17" i="1"/>
  <c r="E17" i="1"/>
  <c r="AA16" i="1"/>
  <c r="X16" i="1"/>
  <c r="U16" i="1"/>
  <c r="Q16" i="1"/>
  <c r="N16" i="1"/>
  <c r="K16" i="1"/>
  <c r="H16" i="1"/>
  <c r="E16" i="1"/>
  <c r="AA15" i="1"/>
  <c r="X15" i="1"/>
  <c r="U15" i="1"/>
  <c r="Q15" i="1"/>
  <c r="N15" i="1"/>
  <c r="K15" i="1"/>
  <c r="H15" i="1"/>
  <c r="E15" i="1"/>
  <c r="AA14" i="1"/>
  <c r="X14" i="1"/>
  <c r="U14" i="1"/>
  <c r="Q14" i="1"/>
  <c r="N14" i="1"/>
  <c r="K14" i="1"/>
  <c r="H14" i="1"/>
  <c r="E14" i="1"/>
  <c r="AA13" i="1"/>
  <c r="X13" i="1"/>
  <c r="U13" i="1"/>
  <c r="Q13" i="1"/>
  <c r="N13" i="1"/>
  <c r="K13" i="1"/>
  <c r="H13" i="1"/>
  <c r="E13" i="1"/>
  <c r="Z12" i="1"/>
  <c r="Y12" i="1"/>
  <c r="Y8" i="1" s="1"/>
  <c r="AA8" i="1" s="1"/>
  <c r="W12" i="1"/>
  <c r="V12" i="1"/>
  <c r="T12" i="1"/>
  <c r="S12" i="1"/>
  <c r="S8" i="1" s="1"/>
  <c r="U8" i="1" s="1"/>
  <c r="P12" i="1"/>
  <c r="O12" i="1"/>
  <c r="Q12" i="1" s="1"/>
  <c r="M12" i="1"/>
  <c r="L12" i="1"/>
  <c r="J12" i="1"/>
  <c r="I12" i="1"/>
  <c r="K12" i="1" s="1"/>
  <c r="G12" i="1"/>
  <c r="F12" i="1"/>
  <c r="D12" i="1"/>
  <c r="C12" i="1"/>
  <c r="E12" i="1" s="1"/>
  <c r="AA11" i="1"/>
  <c r="X11" i="1"/>
  <c r="U11" i="1"/>
  <c r="Q11" i="1"/>
  <c r="N11" i="1"/>
  <c r="K11" i="1"/>
  <c r="H11" i="1"/>
  <c r="E11" i="1"/>
  <c r="AA10" i="1"/>
  <c r="X10" i="1"/>
  <c r="U10" i="1"/>
  <c r="Q10" i="1"/>
  <c r="N10" i="1"/>
  <c r="K10" i="1"/>
  <c r="H10" i="1"/>
  <c r="E10" i="1"/>
  <c r="W7" i="1"/>
  <c r="M7" i="1"/>
  <c r="U145" i="1" l="1"/>
  <c r="F51" i="1"/>
  <c r="F104" i="1" s="1"/>
  <c r="L51" i="1"/>
  <c r="L104" i="1" s="1"/>
  <c r="X145" i="1"/>
  <c r="M51" i="1"/>
  <c r="M104" i="1" s="1"/>
  <c r="T51" i="1"/>
  <c r="T104" i="1" s="1"/>
  <c r="T146" i="1" s="1"/>
  <c r="Z51" i="1"/>
  <c r="Z104" i="1" s="1"/>
  <c r="V51" i="1"/>
  <c r="V104" i="1" s="1"/>
  <c r="V146" i="1" s="1"/>
  <c r="E166" i="1"/>
  <c r="J51" i="1"/>
  <c r="J104" i="1" s="1"/>
  <c r="K145" i="1"/>
  <c r="AB18" i="1"/>
  <c r="X166" i="1"/>
  <c r="AB42" i="1"/>
  <c r="X165" i="1"/>
  <c r="W51" i="1"/>
  <c r="W104" i="1" s="1"/>
  <c r="W146" i="1" s="1"/>
  <c r="Q165" i="1"/>
  <c r="Q166" i="1"/>
  <c r="P51" i="1"/>
  <c r="P104" i="1" s="1"/>
  <c r="P146" i="1" s="1"/>
  <c r="T6" i="1"/>
  <c r="T50" i="1" s="1"/>
  <c r="AA165" i="1"/>
  <c r="AA166" i="1"/>
  <c r="AB166" i="1" s="1"/>
  <c r="AB140" i="1"/>
  <c r="M6" i="1"/>
  <c r="M50" i="1" s="1"/>
  <c r="Z6" i="1"/>
  <c r="Z50" i="1" s="1"/>
  <c r="U165" i="1"/>
  <c r="U166" i="1"/>
  <c r="P6" i="1"/>
  <c r="P50" i="1" s="1"/>
  <c r="O38" i="1"/>
  <c r="Q38" i="1" s="1"/>
  <c r="N165" i="1"/>
  <c r="N166" i="1"/>
  <c r="M105" i="1"/>
  <c r="L38" i="1"/>
  <c r="J146" i="1"/>
  <c r="I51" i="1"/>
  <c r="I104" i="1" s="1"/>
  <c r="I146" i="1" s="1"/>
  <c r="K165" i="1"/>
  <c r="K166" i="1"/>
  <c r="J6" i="1"/>
  <c r="J50" i="1" s="1"/>
  <c r="J105" i="1" s="1"/>
  <c r="I38" i="1"/>
  <c r="I8" i="1"/>
  <c r="K8" i="1" s="1"/>
  <c r="G51" i="1"/>
  <c r="G104" i="1" s="1"/>
  <c r="G146" i="1" s="1"/>
  <c r="H166" i="1"/>
  <c r="G6" i="1"/>
  <c r="G50" i="1" s="1"/>
  <c r="F38" i="1"/>
  <c r="H38" i="1" s="1"/>
  <c r="H165" i="1"/>
  <c r="D6" i="1"/>
  <c r="D50" i="1" s="1"/>
  <c r="D105" i="1" s="1"/>
  <c r="AB43" i="1"/>
  <c r="AB46" i="1"/>
  <c r="AB44" i="1"/>
  <c r="C38" i="1"/>
  <c r="E38" i="1" s="1"/>
  <c r="AB40" i="1"/>
  <c r="C8" i="1"/>
  <c r="E8" i="1" s="1"/>
  <c r="AB8" i="1" s="1"/>
  <c r="E165" i="1"/>
  <c r="X12" i="1"/>
  <c r="R14" i="1"/>
  <c r="H21" i="1"/>
  <c r="N21" i="1"/>
  <c r="AA21" i="1"/>
  <c r="W6" i="1"/>
  <c r="W50" i="1" s="1"/>
  <c r="AB47" i="1"/>
  <c r="AB48" i="1"/>
  <c r="E21" i="1"/>
  <c r="AB21" i="1" s="1"/>
  <c r="K21" i="1"/>
  <c r="Q21" i="1"/>
  <c r="X21" i="1"/>
  <c r="R40" i="1"/>
  <c r="R48" i="1"/>
  <c r="R140" i="1"/>
  <c r="R142" i="1"/>
  <c r="AB141" i="1"/>
  <c r="AB142" i="1"/>
  <c r="AB132" i="1"/>
  <c r="AB133" i="1"/>
  <c r="AB134" i="1"/>
  <c r="AB135" i="1"/>
  <c r="AB136" i="1"/>
  <c r="AB137" i="1"/>
  <c r="AB138" i="1"/>
  <c r="R42" i="1"/>
  <c r="R44" i="1"/>
  <c r="R45" i="1"/>
  <c r="R46" i="1"/>
  <c r="AB10" i="1"/>
  <c r="AB13" i="1"/>
  <c r="AB14" i="1"/>
  <c r="AB15" i="1"/>
  <c r="AB16" i="1"/>
  <c r="AB17" i="1"/>
  <c r="AB20" i="1"/>
  <c r="R20" i="1"/>
  <c r="R24" i="1"/>
  <c r="R26" i="1"/>
  <c r="R29" i="1"/>
  <c r="R30" i="1"/>
  <c r="R31" i="1"/>
  <c r="R32" i="1"/>
  <c r="R33" i="1"/>
  <c r="R35" i="1"/>
  <c r="R36" i="1"/>
  <c r="H130" i="1"/>
  <c r="N130" i="1"/>
  <c r="U130" i="1"/>
  <c r="AA130" i="1"/>
  <c r="AB143" i="1"/>
  <c r="AB144" i="1"/>
  <c r="R41" i="1"/>
  <c r="R141" i="1"/>
  <c r="R13" i="1"/>
  <c r="R17" i="1"/>
  <c r="R18" i="1"/>
  <c r="N145" i="1"/>
  <c r="AA145" i="1"/>
  <c r="AB19" i="1"/>
  <c r="R49" i="1"/>
  <c r="R10" i="1"/>
  <c r="R15" i="1"/>
  <c r="R16" i="1"/>
  <c r="R43" i="1"/>
  <c r="R47" i="1"/>
  <c r="Y7" i="1"/>
  <c r="AA7" i="1" s="1"/>
  <c r="O8" i="1"/>
  <c r="U21" i="1"/>
  <c r="S7" i="1"/>
  <c r="U7" i="1" s="1"/>
  <c r="V38" i="1"/>
  <c r="V37" i="1" s="1"/>
  <c r="X37" i="1" s="1"/>
  <c r="AB41" i="1"/>
  <c r="AB45" i="1"/>
  <c r="AB49" i="1"/>
  <c r="H12" i="1"/>
  <c r="N12" i="1"/>
  <c r="U12" i="1"/>
  <c r="AA12" i="1"/>
  <c r="AB12" i="1" s="1"/>
  <c r="AB23" i="1"/>
  <c r="AB24" i="1"/>
  <c r="AB26" i="1"/>
  <c r="AB29" i="1"/>
  <c r="AB30" i="1"/>
  <c r="AB31" i="1"/>
  <c r="AB32" i="1"/>
  <c r="AB33" i="1"/>
  <c r="AB35" i="1"/>
  <c r="AB36" i="1"/>
  <c r="M146" i="1"/>
  <c r="Z146" i="1"/>
  <c r="AB53" i="1"/>
  <c r="AB56" i="1"/>
  <c r="AB57" i="1"/>
  <c r="AB60" i="1"/>
  <c r="AB61" i="1"/>
  <c r="AB62" i="1"/>
  <c r="AB63" i="1"/>
  <c r="AB64" i="1"/>
  <c r="AB65" i="1"/>
  <c r="AB67" i="1"/>
  <c r="AB69" i="1"/>
  <c r="AB70" i="1"/>
  <c r="AB71" i="1"/>
  <c r="AB72" i="1"/>
  <c r="AB73" i="1"/>
  <c r="AB74" i="1"/>
  <c r="AB76" i="1"/>
  <c r="AB77" i="1"/>
  <c r="AB78" i="1"/>
  <c r="AB79" i="1"/>
  <c r="AB80" i="1"/>
  <c r="AB82" i="1"/>
  <c r="AB83" i="1"/>
  <c r="AB84" i="1"/>
  <c r="AB85" i="1"/>
  <c r="AB87" i="1"/>
  <c r="AB89" i="1"/>
  <c r="AB90" i="1"/>
  <c r="AB94" i="1"/>
  <c r="AB95" i="1"/>
  <c r="AB96" i="1"/>
  <c r="AB97" i="1"/>
  <c r="AB98" i="1"/>
  <c r="AB99" i="1"/>
  <c r="AB101" i="1"/>
  <c r="AB102" i="1"/>
  <c r="AB103" i="1"/>
  <c r="E130" i="1"/>
  <c r="K130" i="1"/>
  <c r="Q130" i="1"/>
  <c r="X130" i="1"/>
  <c r="E145" i="1"/>
  <c r="Q145" i="1"/>
  <c r="R132" i="1"/>
  <c r="R133" i="1"/>
  <c r="R134" i="1"/>
  <c r="R135" i="1"/>
  <c r="R136" i="1"/>
  <c r="R137" i="1"/>
  <c r="R138" i="1"/>
  <c r="AB139" i="1"/>
  <c r="R139" i="1"/>
  <c r="R23" i="1"/>
  <c r="R39" i="1"/>
  <c r="F8" i="1"/>
  <c r="L8" i="1"/>
  <c r="V8" i="1"/>
  <c r="E52" i="1"/>
  <c r="AB39" i="1"/>
  <c r="R149" i="1"/>
  <c r="R150" i="1"/>
  <c r="R160" i="1"/>
  <c r="AB160" i="1"/>
  <c r="H52" i="1"/>
  <c r="K52" i="1"/>
  <c r="N52" i="1"/>
  <c r="Q52" i="1"/>
  <c r="U52" i="1"/>
  <c r="X52" i="1"/>
  <c r="AA52" i="1"/>
  <c r="R53" i="1"/>
  <c r="R56" i="1"/>
  <c r="R57" i="1"/>
  <c r="R60" i="1"/>
  <c r="R61" i="1"/>
  <c r="R62" i="1"/>
  <c r="R63" i="1"/>
  <c r="R64" i="1"/>
  <c r="R65" i="1"/>
  <c r="E66" i="1"/>
  <c r="H66" i="1"/>
  <c r="K66" i="1"/>
  <c r="N66" i="1"/>
  <c r="Q66" i="1"/>
  <c r="R66" i="1" s="1"/>
  <c r="U66" i="1"/>
  <c r="X66" i="1"/>
  <c r="AA66" i="1"/>
  <c r="R67" i="1"/>
  <c r="R69" i="1"/>
  <c r="R70" i="1"/>
  <c r="R71" i="1"/>
  <c r="R72" i="1"/>
  <c r="R73" i="1"/>
  <c r="R74" i="1"/>
  <c r="R76" i="1"/>
  <c r="R77" i="1"/>
  <c r="R78" i="1"/>
  <c r="R79" i="1"/>
  <c r="R80" i="1"/>
  <c r="R82" i="1"/>
  <c r="R83" i="1"/>
  <c r="R84" i="1"/>
  <c r="R85" i="1"/>
  <c r="E86" i="1"/>
  <c r="H86" i="1"/>
  <c r="K86" i="1"/>
  <c r="N86" i="1"/>
  <c r="Q86" i="1"/>
  <c r="U86" i="1"/>
  <c r="X86" i="1"/>
  <c r="AA86" i="1"/>
  <c r="R87" i="1"/>
  <c r="R89" i="1"/>
  <c r="R90" i="1"/>
  <c r="R91" i="1"/>
  <c r="R96" i="1"/>
  <c r="R97" i="1"/>
  <c r="R98" i="1"/>
  <c r="R99" i="1"/>
  <c r="R101" i="1"/>
  <c r="R102" i="1"/>
  <c r="R103" i="1"/>
  <c r="R131" i="1"/>
  <c r="AB131" i="1"/>
  <c r="AB149" i="1"/>
  <c r="AB150" i="1"/>
  <c r="R19" i="1"/>
  <c r="R12" i="1"/>
  <c r="C146" i="1"/>
  <c r="E104" i="1"/>
  <c r="E51" i="1"/>
  <c r="O146" i="1"/>
  <c r="Y146" i="1"/>
  <c r="AA104" i="1"/>
  <c r="AA51" i="1"/>
  <c r="S38" i="1"/>
  <c r="Y38" i="1"/>
  <c r="S146" i="1"/>
  <c r="U104" i="1"/>
  <c r="U146" i="1" s="1"/>
  <c r="H104" i="1"/>
  <c r="H146" i="1" s="1"/>
  <c r="F146" i="1"/>
  <c r="N104" i="1"/>
  <c r="N146" i="1" s="1"/>
  <c r="L146" i="1"/>
  <c r="N51" i="1"/>
  <c r="R55" i="1"/>
  <c r="AB55" i="1"/>
  <c r="R59" i="1"/>
  <c r="AB59" i="1"/>
  <c r="R94" i="1"/>
  <c r="R95" i="1"/>
  <c r="AB91" i="1"/>
  <c r="R143" i="1"/>
  <c r="R144" i="1"/>
  <c r="O37" i="1" l="1"/>
  <c r="Q37" i="1" s="1"/>
  <c r="H51" i="1"/>
  <c r="R38" i="1"/>
  <c r="Z105" i="1"/>
  <c r="U51" i="1"/>
  <c r="T105" i="1"/>
  <c r="R166" i="1"/>
  <c r="AB130" i="1"/>
  <c r="R165" i="1"/>
  <c r="Q51" i="1"/>
  <c r="R51" i="1" s="1"/>
  <c r="Q104" i="1"/>
  <c r="Q146" i="1" s="1"/>
  <c r="X104" i="1"/>
  <c r="X146" i="1" s="1"/>
  <c r="X51" i="1"/>
  <c r="AB165" i="1"/>
  <c r="G105" i="1"/>
  <c r="R145" i="1"/>
  <c r="W105" i="1"/>
  <c r="V124" i="1" s="1"/>
  <c r="P105" i="1"/>
  <c r="R52" i="1"/>
  <c r="R21" i="1"/>
  <c r="X38" i="1"/>
  <c r="N38" i="1"/>
  <c r="L37" i="1"/>
  <c r="N37" i="1" s="1"/>
  <c r="K104" i="1"/>
  <c r="K146" i="1" s="1"/>
  <c r="K51" i="1"/>
  <c r="K38" i="1"/>
  <c r="I37" i="1"/>
  <c r="K37" i="1" s="1"/>
  <c r="I7" i="1"/>
  <c r="F37" i="1"/>
  <c r="H37" i="1" s="1"/>
  <c r="C37" i="1"/>
  <c r="E37" i="1" s="1"/>
  <c r="C7" i="1"/>
  <c r="R86" i="1"/>
  <c r="AB52" i="1"/>
  <c r="R130" i="1"/>
  <c r="E146" i="1"/>
  <c r="AB145" i="1"/>
  <c r="AB86" i="1"/>
  <c r="AB66" i="1"/>
  <c r="AB51" i="1"/>
  <c r="Q8" i="1"/>
  <c r="R8" i="1" s="1"/>
  <c r="O7" i="1"/>
  <c r="X8" i="1"/>
  <c r="V7" i="1"/>
  <c r="H8" i="1"/>
  <c r="F7" i="1"/>
  <c r="N8" i="1"/>
  <c r="L7" i="1"/>
  <c r="AA38" i="1"/>
  <c r="AB38" i="1" s="1"/>
  <c r="Y37" i="1"/>
  <c r="AB104" i="1"/>
  <c r="AA146" i="1"/>
  <c r="U38" i="1"/>
  <c r="S37" i="1"/>
  <c r="R37" i="1" l="1"/>
  <c r="R104" i="1"/>
  <c r="I6" i="1"/>
  <c r="K7" i="1"/>
  <c r="E7" i="1"/>
  <c r="AB7" i="1" s="1"/>
  <c r="C6" i="1"/>
  <c r="Q7" i="1"/>
  <c r="O6" i="1"/>
  <c r="H7" i="1"/>
  <c r="F6" i="1"/>
  <c r="X7" i="1"/>
  <c r="V6" i="1"/>
  <c r="N7" i="1"/>
  <c r="L6" i="1"/>
  <c r="AA37" i="1"/>
  <c r="AB37" i="1" s="1"/>
  <c r="Y6" i="1"/>
  <c r="U37" i="1"/>
  <c r="S6" i="1"/>
  <c r="R7" i="1" l="1"/>
  <c r="I50" i="1"/>
  <c r="K6" i="1"/>
  <c r="K50" i="1" s="1"/>
  <c r="C50" i="1"/>
  <c r="E6" i="1"/>
  <c r="E50" i="1" s="1"/>
  <c r="E105" i="1" s="1"/>
  <c r="O50" i="1"/>
  <c r="Q6" i="1"/>
  <c r="L50" i="1"/>
  <c r="N6" i="1"/>
  <c r="N50" i="1" s="1"/>
  <c r="N105" i="1" s="1"/>
  <c r="V50" i="1"/>
  <c r="X6" i="1"/>
  <c r="X50" i="1" s="1"/>
  <c r="H6" i="1"/>
  <c r="H50" i="1" s="1"/>
  <c r="H105" i="1" s="1"/>
  <c r="F50" i="1"/>
  <c r="S50" i="1"/>
  <c r="U6" i="1"/>
  <c r="U50" i="1" s="1"/>
  <c r="Y50" i="1"/>
  <c r="AA6" i="1"/>
  <c r="I105" i="1" l="1"/>
  <c r="K105" i="1" s="1"/>
  <c r="I109" i="1"/>
  <c r="I107" i="1" s="1"/>
  <c r="C105" i="1"/>
  <c r="C109" i="1"/>
  <c r="C107" i="1" s="1"/>
  <c r="R6" i="1"/>
  <c r="Q50" i="1"/>
  <c r="O105" i="1"/>
  <c r="O109" i="1"/>
  <c r="O107" i="1" s="1"/>
  <c r="V105" i="1"/>
  <c r="X105" i="1" s="1"/>
  <c r="V125" i="1" s="1"/>
  <c r="V123" i="1" s="1"/>
  <c r="V109" i="1"/>
  <c r="V107" i="1" s="1"/>
  <c r="F105" i="1"/>
  <c r="F109" i="1"/>
  <c r="F107" i="1" s="1"/>
  <c r="L105" i="1"/>
  <c r="L109" i="1"/>
  <c r="L107" i="1" s="1"/>
  <c r="Y105" i="1"/>
  <c r="AA105" i="1" s="1"/>
  <c r="Y109" i="1"/>
  <c r="Y107" i="1" s="1"/>
  <c r="AA50" i="1"/>
  <c r="AB50" i="1" s="1"/>
  <c r="AB6" i="1"/>
  <c r="S105" i="1"/>
  <c r="U105" i="1" s="1"/>
  <c r="S109" i="1"/>
  <c r="S107" i="1" s="1"/>
  <c r="R50" i="1" l="1"/>
  <c r="Q105" i="1"/>
</calcChain>
</file>

<file path=xl/comments1.xml><?xml version="1.0" encoding="utf-8"?>
<comments xmlns="http://schemas.openxmlformats.org/spreadsheetml/2006/main">
  <authors>
    <author>Пикина Надежда Анатольевна</author>
  </authors>
  <commentList>
    <comment ref="L155" authorId="0">
      <text>
        <r>
          <rPr>
            <b/>
            <sz val="9"/>
            <color indexed="81"/>
            <rFont val="Tahoma"/>
            <family val="2"/>
            <charset val="204"/>
          </rPr>
          <t>Пикина Надежда Анатольевна: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<sst xmlns="http://schemas.openxmlformats.org/spreadsheetml/2006/main" count="915" uniqueCount="228">
  <si>
    <t>тыс.руб.</t>
  </si>
  <si>
    <t>№ п/п</t>
  </si>
  <si>
    <t>ПОКАЗАТЕЛИ</t>
  </si>
  <si>
    <t>Исполнение за отчетный финансовый год</t>
  </si>
  <si>
    <t>Первоначальный план</t>
  </si>
  <si>
    <t>Уточненный план</t>
  </si>
  <si>
    <t>Местный бюджет (всего)</t>
  </si>
  <si>
    <t>в том числе:</t>
  </si>
  <si>
    <t>в том числе</t>
  </si>
  <si>
    <t>без  целевых средств</t>
  </si>
  <si>
    <t>без целевых средств</t>
  </si>
  <si>
    <t>I.</t>
  </si>
  <si>
    <t>Доходы</t>
  </si>
  <si>
    <t>1.1</t>
  </si>
  <si>
    <t>Налоговые и неналоговые доходы</t>
  </si>
  <si>
    <t>1.1.1.</t>
  </si>
  <si>
    <t>Налоговые доходы</t>
  </si>
  <si>
    <t>из них:</t>
  </si>
  <si>
    <t>а)</t>
  </si>
  <si>
    <t>Налог на доходы физических лиц</t>
  </si>
  <si>
    <t>б)</t>
  </si>
  <si>
    <t>Акцизы по подакцизным товарам (продукции)</t>
  </si>
  <si>
    <t>в)</t>
  </si>
  <si>
    <t>Налоги на совокупный доход</t>
  </si>
  <si>
    <t>-налог, взимаемый в связи с применением упрощенной системы налогообложения</t>
  </si>
  <si>
    <t>-единый налог на вмененный доход для отдельных видов деятельности</t>
  </si>
  <si>
    <t>-единый сельскохозяйственный налог</t>
  </si>
  <si>
    <t>-патентная система налогообложения</t>
  </si>
  <si>
    <t>г)</t>
  </si>
  <si>
    <t>Налог на имущество физических лиц</t>
  </si>
  <si>
    <t>д)</t>
  </si>
  <si>
    <t>Земельный налог</t>
  </si>
  <si>
    <t>е)</t>
  </si>
  <si>
    <t>Государственная пошлина</t>
  </si>
  <si>
    <t>ж)</t>
  </si>
  <si>
    <t>Прочие налоги</t>
  </si>
  <si>
    <t>1.1.2.</t>
  </si>
  <si>
    <t>Неналоговые доходы</t>
  </si>
  <si>
    <t>Доходы в виде прибыли, приходящейся на доли в уставных капиталах, или дивидендов по акциям</t>
  </si>
  <si>
    <t>Проценты, полученные от предоставления бюджетных кредитов</t>
  </si>
  <si>
    <t>Доходы, полученные в виде арендной платы за земельные участки</t>
  </si>
  <si>
    <t>Доходы от сдачи имущества в аренду</t>
  </si>
  <si>
    <t>Доходы от сдачи в аренду имущества, составляющего казну (за исключением земельных участков)</t>
  </si>
  <si>
    <t>Прочие доходы от использования имущества и прав, находящихся в государственной и муниципальной собственности</t>
  </si>
  <si>
    <t>Платежи от муниципальных унитарных предприятий</t>
  </si>
  <si>
    <t>з)</t>
  </si>
  <si>
    <t>Плата за негативное воздействие на окружающую среду</t>
  </si>
  <si>
    <t>и)</t>
  </si>
  <si>
    <t>Доходы от оказания платных услуг (работ) и компенсации затрат государства</t>
  </si>
  <si>
    <t>к)</t>
  </si>
  <si>
    <t>Доходы от продажи материальных и нематериальных активов</t>
  </si>
  <si>
    <t>л)</t>
  </si>
  <si>
    <t>Штрафы, санкции, возмещение ущерба</t>
  </si>
  <si>
    <t>-прочие денежные взыскания (штрафы) за правонарушения в области дорожного движения</t>
  </si>
  <si>
    <t>м)</t>
  </si>
  <si>
    <t>Прочие неналоговые доходы</t>
  </si>
  <si>
    <t>1.2</t>
  </si>
  <si>
    <t>Безвозмездные поступления всего</t>
  </si>
  <si>
    <t>1.2.1</t>
  </si>
  <si>
    <t>Безвозмездные поступления от бюджетов других уровней</t>
  </si>
  <si>
    <t xml:space="preserve">Дотации, в т.ч. </t>
  </si>
  <si>
    <t>на выравнивание бюджетной обеспеченности</t>
  </si>
  <si>
    <t>на сбалансированность бюджета</t>
  </si>
  <si>
    <t>прочие дотации</t>
  </si>
  <si>
    <t>Субсидии, в т.ч.</t>
  </si>
  <si>
    <t>-капитального характера</t>
  </si>
  <si>
    <t>Субвенции</t>
  </si>
  <si>
    <t>Иные межбюджетные трансферты</t>
  </si>
  <si>
    <t>1.2.2</t>
  </si>
  <si>
    <t>Прочие безвозмездные перечисления</t>
  </si>
  <si>
    <t>1.2.3</t>
  </si>
  <si>
    <t xml:space="preserve">Доходы бюджетов от возврата бюджетами и организациями остатков субсидий, субвенций и иных межбюджетных трансфертов, имеющих целевое назначение, прошлых лет </t>
  </si>
  <si>
    <t>1.2.4</t>
  </si>
  <si>
    <t>Возврат остатков субвенций, субсидий и иных межбюджетных трансфертов, имеющих целевое назначение, прошлых лет</t>
  </si>
  <si>
    <t>ИТОГО ДОХОДОВ</t>
  </si>
  <si>
    <t>II.</t>
  </si>
  <si>
    <t xml:space="preserve">Расходы  </t>
  </si>
  <si>
    <t>Органы местного самоуправления</t>
  </si>
  <si>
    <t>Расходы на выплаты персоналу в целях обеспечения выполнения функций муниципальными органами (КВР 100)-всего</t>
  </si>
  <si>
    <t>Фонд оплаты труда муниципальных органов (КВР 121)</t>
  </si>
  <si>
    <t xml:space="preserve">Взносы по обязательному социальному страхованию (КВР 129)      </t>
  </si>
  <si>
    <t xml:space="preserve">Закупка товаров, работ и услуг для обеспечения муниципальных нужд   (КВР 200) </t>
  </si>
  <si>
    <t>- коммунальные услуги (подстатья КОСГУ 223)</t>
  </si>
  <si>
    <t>- работы, услуги по содержанию имущества (подстатья КОСГУ 225)</t>
  </si>
  <si>
    <t>- увеличение стоимости основных средств (статья КОСГУ 310)</t>
  </si>
  <si>
    <t>1.3</t>
  </si>
  <si>
    <t xml:space="preserve">Расходы на социальное обеспечение и иные выплаты населению (КВР 300) </t>
  </si>
  <si>
    <t>1.4</t>
  </si>
  <si>
    <t xml:space="preserve">Расходы на капитальные вложения в объекты муниципальной собственности (КВР 400) </t>
  </si>
  <si>
    <t>1.5</t>
  </si>
  <si>
    <t>Межбюджетные трансферты (КВР 500)</t>
  </si>
  <si>
    <t>1.6</t>
  </si>
  <si>
    <t xml:space="preserve">Предоставление субсидий бюджетным, автономным учреждениям и иным некоммерческим организациям (КВР 600) </t>
  </si>
  <si>
    <t xml:space="preserve">Расходы на содержание учреждений, осуществляемые за счет предоставленных субсидий бюджетным и автономным учреждениям                                                 </t>
  </si>
  <si>
    <t>1.6.1</t>
  </si>
  <si>
    <t xml:space="preserve">Выплаты персоналу, всего:       </t>
  </si>
  <si>
    <t>-оплата труда и начисления на выплаты по оплате труда</t>
  </si>
  <si>
    <t>1.6.2</t>
  </si>
  <si>
    <t>Социальные и иные выплаты населению</t>
  </si>
  <si>
    <t>1.6.3</t>
  </si>
  <si>
    <t>Уплата налогов, сборов и иных платежей</t>
  </si>
  <si>
    <t>1.6.4</t>
  </si>
  <si>
    <t>Безвозмездные перечисления организациям</t>
  </si>
  <si>
    <t>1.6.5</t>
  </si>
  <si>
    <t>Прочие расходы (кроме расходов на закупку товаров, работ, услуг)</t>
  </si>
  <si>
    <t>Расходы на закупку товаров, работ, услуг</t>
  </si>
  <si>
    <t>-коммунальные услуги (подстатья КОСГУ 223)</t>
  </si>
  <si>
    <t>1.7</t>
  </si>
  <si>
    <t xml:space="preserve">Расходы на обслуживание муниципального долга (КВР 730) </t>
  </si>
  <si>
    <t>1.8</t>
  </si>
  <si>
    <r>
      <t>Расходы на иные бюджетные ассигнования (КВР 800)</t>
    </r>
    <r>
      <rPr>
        <b/>
        <sz val="10"/>
        <rFont val="Times New Roman"/>
        <family val="1"/>
        <charset val="204"/>
      </rPr>
      <t xml:space="preserve"> </t>
    </r>
  </si>
  <si>
    <t>Расходы на предоставление субсидий юридическим лицам (кроме некоммерческих организаций), индивидуальным предпринимателям, физическим лицам - производителям товаров, работ, услуг (КВР 810)</t>
  </si>
  <si>
    <t xml:space="preserve">Расходы на исполнение судебных актов (КВР 830) </t>
  </si>
  <si>
    <t xml:space="preserve">Расходы на уплату налогов, сборов и иных платежей (КВР 850) </t>
  </si>
  <si>
    <t xml:space="preserve">Резервные средства (КВР 870)   </t>
  </si>
  <si>
    <t>2</t>
  </si>
  <si>
    <t>Казенные учреждения</t>
  </si>
  <si>
    <t>2.1</t>
  </si>
  <si>
    <t>Расходы на выплаты персоналу в целях обеспечения выполнения функций казенными учреждениями (КВР 100) - всего</t>
  </si>
  <si>
    <t>Фонд оплаты труда казенных учреждений (КВР 111)</t>
  </si>
  <si>
    <t xml:space="preserve">Взносы по обязательному социальному страхованию (КВР 119)      </t>
  </si>
  <si>
    <t>2.2</t>
  </si>
  <si>
    <t>Закупка товаров, работ и услуг для обеспечения муниципальных нужд (КВР 200)</t>
  </si>
  <si>
    <t>2.3</t>
  </si>
  <si>
    <t xml:space="preserve">Социальное обеспечение и иные выплаты населению (КВР 300) </t>
  </si>
  <si>
    <t>2.4</t>
  </si>
  <si>
    <t xml:space="preserve">Капитальные вложения в объекты муниципальной собственности (КВР 400) </t>
  </si>
  <si>
    <t>2.5</t>
  </si>
  <si>
    <t>2.6</t>
  </si>
  <si>
    <t xml:space="preserve">Иные бюджетные ассигнования (КВР 800) </t>
  </si>
  <si>
    <t xml:space="preserve">Расходы на предоставление субсидий юридическим лицам (кроме некоммерческих организаций), индивидуальным предпринимателям, физическим лицам - производителям товаров, работ, услуг (КВР 810) </t>
  </si>
  <si>
    <t>Расходы на исполнение судебных актов (КВР 830)</t>
  </si>
  <si>
    <t>Расходы на уплату налогов, сборов и иных платежей (КВР 850)</t>
  </si>
  <si>
    <t>ИТОГО РАСХОДОВ</t>
  </si>
  <si>
    <t>Профицит (+)/дефицит (-)</t>
  </si>
  <si>
    <r>
      <rPr>
        <i/>
        <u/>
        <sz val="8"/>
        <rFont val="Times New Roman"/>
        <family val="1"/>
        <charset val="204"/>
      </rPr>
      <t xml:space="preserve">Справочно: </t>
    </r>
    <r>
      <rPr>
        <sz val="8"/>
        <rFont val="Times New Roman"/>
        <family val="1"/>
        <charset val="204"/>
      </rPr>
      <t>Профицит(+) /дефицит(-) в соответствии с отчетом об исполнении бюджета (месячный)</t>
    </r>
  </si>
  <si>
    <t>III</t>
  </si>
  <si>
    <t>Источники финансирования дефицита бюджета</t>
  </si>
  <si>
    <t>х</t>
  </si>
  <si>
    <t>3.1</t>
  </si>
  <si>
    <t>Изменение остатков бюджетных средств</t>
  </si>
  <si>
    <t>3.2</t>
  </si>
  <si>
    <t>Бюджетные кредиты полученные от других бюджетов бюджетной системы</t>
  </si>
  <si>
    <t xml:space="preserve">Привлечение кредитов </t>
  </si>
  <si>
    <t>Привлечение кредитов на пополнение остатков средств на счетах бюджетов</t>
  </si>
  <si>
    <t>Погашение кредитов</t>
  </si>
  <si>
    <t>Погашение кредитов на пополнение остатков средств на счетах бюджетов</t>
  </si>
  <si>
    <t>3.3</t>
  </si>
  <si>
    <t>Кредиты кредитных организаций</t>
  </si>
  <si>
    <t>Привлечение кредитов</t>
  </si>
  <si>
    <t>3.4</t>
  </si>
  <si>
    <t>Иные источники внутреннего финансирования дефицитов бюджетов</t>
  </si>
  <si>
    <t>Увеличение фин.активов в мун.собственности за счет средств учреждений, лицевые счета которым открыты в тер.органах ФК или в фин. органах</t>
  </si>
  <si>
    <t>Исполнение муниципальных гарантий в валюте РФ</t>
  </si>
  <si>
    <t>Бюджетные кредиты, предоставленные внутри страны в валюте РФ</t>
  </si>
  <si>
    <t>IV.</t>
  </si>
  <si>
    <t>Остатки бюджетных средств на отчетную дату</t>
  </si>
  <si>
    <t>целевые</t>
  </si>
  <si>
    <t>нецелевые</t>
  </si>
  <si>
    <t>-за счет поступлений от юридических лиц для осуществления расходов в соответствии с заключенными соглашениями (договорами)</t>
  </si>
  <si>
    <t>V.</t>
  </si>
  <si>
    <t>Просроченная кредиторская задолженность - всего</t>
  </si>
  <si>
    <t>VI.</t>
  </si>
  <si>
    <t>Функциональная структура расходов</t>
  </si>
  <si>
    <t>Общегосударственные вопросы</t>
  </si>
  <si>
    <t>Национальная оборона</t>
  </si>
  <si>
    <t>Нац. безоп.и правоохр. деят-ть</t>
  </si>
  <si>
    <t>Национальная экономика</t>
  </si>
  <si>
    <t>Жилищно-коммунальное хозяйство</t>
  </si>
  <si>
    <t>Охрана окружающей среды</t>
  </si>
  <si>
    <t>Образование</t>
  </si>
  <si>
    <t>Культура, кинематография</t>
  </si>
  <si>
    <t>Здравоохранение</t>
  </si>
  <si>
    <t>Социальная политика</t>
  </si>
  <si>
    <t>Физическая культура и спорт</t>
  </si>
  <si>
    <t>Средства массовой информации</t>
  </si>
  <si>
    <t>Обслуживание гос. и муниц.долга</t>
  </si>
  <si>
    <t>Межбюджетные трансферты</t>
  </si>
  <si>
    <t>Итого</t>
  </si>
  <si>
    <t>Проверка</t>
  </si>
  <si>
    <t>VII.</t>
  </si>
  <si>
    <t>Справочно:</t>
  </si>
  <si>
    <t>7.1</t>
  </si>
  <si>
    <t>Муниципальный дорожный фонд:</t>
  </si>
  <si>
    <t>Х</t>
  </si>
  <si>
    <t>- доходы</t>
  </si>
  <si>
    <t>- расходы</t>
  </si>
  <si>
    <t>7.2</t>
  </si>
  <si>
    <t>Муниципальный долг, в том числе</t>
  </si>
  <si>
    <t xml:space="preserve"> -бюджетные кредиты</t>
  </si>
  <si>
    <t xml:space="preserve"> -кредиты от кредитных организаций</t>
  </si>
  <si>
    <t xml:space="preserve"> -муниципальные гарантии</t>
  </si>
  <si>
    <t>7.3</t>
  </si>
  <si>
    <t>7.4</t>
  </si>
  <si>
    <t>Количество муниципальных учреждений, в т.ч.</t>
  </si>
  <si>
    <t xml:space="preserve"> -органов местного самоуправления</t>
  </si>
  <si>
    <t xml:space="preserve"> -казенных</t>
  </si>
  <si>
    <t xml:space="preserve"> -бюджетных</t>
  </si>
  <si>
    <t xml:space="preserve"> -автономных</t>
  </si>
  <si>
    <t>7.5</t>
  </si>
  <si>
    <t>Итого оплата труда и начисления на выплаты по оплате труда</t>
  </si>
  <si>
    <t>7.6</t>
  </si>
  <si>
    <t>Итого коммунальные услуги (подстатья КОСГУ 223)</t>
  </si>
  <si>
    <t>7.7</t>
  </si>
  <si>
    <t>7.8</t>
  </si>
  <si>
    <t>Исполнитель ___________   _____________________   __________</t>
  </si>
  <si>
    <t xml:space="preserve">                           (должность)                     (ФИО)                             (телефон)</t>
  </si>
  <si>
    <r>
      <rPr>
        <b/>
        <sz val="11"/>
        <rFont val="Times New Roman"/>
        <family val="1"/>
        <charset val="204"/>
      </rPr>
      <t xml:space="preserve">Объем предусмотренных средств на доплаты до МРОТ (с начислениями) </t>
    </r>
    <r>
      <rPr>
        <b/>
        <sz val="10"/>
        <rFont val="Times New Roman"/>
        <family val="1"/>
        <charset val="204"/>
      </rPr>
      <t xml:space="preserve">
*</t>
    </r>
    <r>
      <rPr>
        <sz val="10"/>
        <rFont val="Times New Roman"/>
        <family val="1"/>
        <charset val="204"/>
      </rPr>
      <t xml:space="preserve"> в графе «за счет целевых средств» отражаются расходы на доплаты  за счет средств субвенций из областного бюджета; 
*в графе «без целевых средств»  отражаются расходы местного бюджета на доплаты с учетом средств субсидии из областного бюджета на софинансирование расходов, направляемых на оплату труда и начисления на выплаты по оплате труда работникам муниципальных учреждений </t>
    </r>
  </si>
  <si>
    <r>
      <rPr>
        <b/>
        <sz val="11"/>
        <rFont val="Times New Roman"/>
        <family val="1"/>
        <charset val="204"/>
      </rPr>
      <t>Среднесписочная численность получателей доплат, человек</t>
    </r>
    <r>
      <rPr>
        <b/>
        <sz val="10"/>
        <rFont val="Times New Roman"/>
        <family val="1"/>
        <charset val="204"/>
      </rPr>
      <t xml:space="preserve">
</t>
    </r>
    <r>
      <rPr>
        <sz val="10"/>
        <rFont val="Times New Roman"/>
        <family val="1"/>
        <charset val="204"/>
      </rPr>
      <t>*в графе «за счет целевых средств» отражается численность получателей доплат за счет средств субвенций из областного бюджета; 
*в графе «без целевых средств»  отражается численность получателей доплат за счет средств местного бюджета с учетом средств субсидии из областного бюджета на софинансирование расходов, направляемых на оплату труда и начисления на выплаты по оплате труда работникам муниципальных учреждений.</t>
    </r>
  </si>
  <si>
    <t>за счет целевых средств</t>
  </si>
  <si>
    <t>1.6.6</t>
  </si>
  <si>
    <t>2023 год</t>
  </si>
  <si>
    <t>Ожидаемая оценка исполнения за 2023 год</t>
  </si>
  <si>
    <t>- за счет привлечения остатков средств бюджетных и автономных учреждений</t>
  </si>
  <si>
    <t>2022 год (отчетный год)</t>
  </si>
  <si>
    <t>Темп роста к исполнению  2022 г. без ЦС</t>
  </si>
  <si>
    <t>Итого штатных единиц:</t>
  </si>
  <si>
    <t>Штатные единицы в казенных учреждениях, ед. (исполнено -фактически замещенные без учета вакансий, план -  в соответствии с утвержденными штатными расписаниями)</t>
  </si>
  <si>
    <t>Штатные единицы в органах местного самоуправления, ед. (исполнено -фактически замещенные без учета вакансий, план -  в соответствии с утвержденными штатными расписаниями)</t>
  </si>
  <si>
    <t>Штатные единицы в бюджетных учреждениях (исполнено -фактически замещенные без учета вакансий, план -  в соответствии с утвержденными штатными расписаниями)</t>
  </si>
  <si>
    <t>Штатные единицы в автономных учреждениях (исполнено -фактически замещенные без учета вакансий, план -  в соответствии с утвержденными штатными расписаниями)</t>
  </si>
  <si>
    <t>Темп роста к  исполнению 2022г. без ЦС</t>
  </si>
  <si>
    <t xml:space="preserve">"__" ___________________ 2023 г. </t>
  </si>
  <si>
    <t>Паспорт муниципального образования Печенгский муниципальный округ по исполнению бюджета на "01"апреля 2023года</t>
  </si>
  <si>
    <t>Исполнено на 01.04.2022 (n)</t>
  </si>
  <si>
    <t>Исполнено за апрель (месяц n+1)</t>
  </si>
  <si>
    <t>Исполнено на 01.04.2023 (n)</t>
  </si>
  <si>
    <t>Ожидаемое исполнение за апрель (n+1)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</si>
</sst>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43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7"/>
      <name val="Times New Roman"/>
      <family val="1"/>
      <charset val="204"/>
    </font>
    <font>
      <sz val="8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0"/>
      <color indexed="17"/>
      <name val="Times New Roman"/>
      <family val="1"/>
      <charset val="204"/>
    </font>
    <font>
      <b/>
      <sz val="10"/>
      <color indexed="12"/>
      <name val="Times New Roman"/>
      <family val="1"/>
      <charset val="204"/>
    </font>
    <font>
      <sz val="8"/>
      <color indexed="12"/>
      <name val="Times New Roman"/>
      <family val="1"/>
      <charset val="204"/>
    </font>
    <font>
      <sz val="10"/>
      <color indexed="12"/>
      <name val="Arial Cyr"/>
      <charset val="204"/>
    </font>
    <font>
      <sz val="10"/>
      <color indexed="17"/>
      <name val="Times New Roman"/>
      <family val="1"/>
      <charset val="204"/>
    </font>
    <font>
      <sz val="10"/>
      <color indexed="12"/>
      <name val="Times New Roman"/>
      <family val="1"/>
      <charset val="204"/>
    </font>
    <font>
      <b/>
      <sz val="7"/>
      <name val="Times New Roman"/>
      <family val="1"/>
      <charset val="204"/>
    </font>
    <font>
      <b/>
      <i/>
      <sz val="10"/>
      <name val="Times New Roman"/>
      <family val="1"/>
      <charset val="204"/>
    </font>
    <font>
      <i/>
      <sz val="7"/>
      <name val="Times New Roman"/>
      <family val="1"/>
      <charset val="204"/>
    </font>
    <font>
      <i/>
      <sz val="10"/>
      <name val="Times New Roman"/>
      <family val="1"/>
      <charset val="204"/>
    </font>
    <font>
      <i/>
      <sz val="10"/>
      <color indexed="12"/>
      <name val="Times New Roman"/>
      <family val="1"/>
      <charset val="204"/>
    </font>
    <font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9"/>
      <name val="Times New Roman"/>
      <family val="1"/>
      <charset val="204"/>
    </font>
    <font>
      <sz val="9"/>
      <color indexed="12"/>
      <name val="Times New Roman"/>
      <family val="1"/>
      <charset val="204"/>
    </font>
    <font>
      <b/>
      <i/>
      <sz val="7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i/>
      <sz val="10"/>
      <color indexed="17"/>
      <name val="Times New Roman"/>
      <family val="1"/>
      <charset val="204"/>
    </font>
    <font>
      <b/>
      <sz val="7"/>
      <color indexed="12"/>
      <name val="Times New Roman"/>
      <family val="1"/>
      <charset val="204"/>
    </font>
    <font>
      <b/>
      <sz val="11"/>
      <color indexed="12"/>
      <name val="Times New Roman"/>
      <family val="1"/>
      <charset val="204"/>
    </font>
    <font>
      <i/>
      <sz val="8"/>
      <name val="Times New Roman"/>
      <family val="1"/>
      <charset val="204"/>
    </font>
    <font>
      <i/>
      <u/>
      <sz val="8"/>
      <name val="Times New Roman"/>
      <family val="1"/>
      <charset val="204"/>
    </font>
    <font>
      <i/>
      <sz val="8"/>
      <color indexed="17"/>
      <name val="Times New Roman"/>
      <family val="1"/>
      <charset val="204"/>
    </font>
    <font>
      <b/>
      <sz val="8"/>
      <color indexed="17"/>
      <name val="Times New Roman"/>
      <family val="1"/>
      <charset val="204"/>
    </font>
    <font>
      <i/>
      <sz val="8"/>
      <color indexed="12"/>
      <name val="Times New Roman"/>
      <family val="1"/>
      <charset val="204"/>
    </font>
    <font>
      <b/>
      <sz val="10"/>
      <color theme="6" tint="-0.249977111117893"/>
      <name val="Times New Roman"/>
      <family val="1"/>
      <charset val="204"/>
    </font>
    <font>
      <b/>
      <sz val="10"/>
      <color rgb="FF006600"/>
      <name val="Times New Roman"/>
      <family val="1"/>
      <charset val="204"/>
    </font>
    <font>
      <b/>
      <i/>
      <sz val="7"/>
      <color indexed="12"/>
      <name val="Times New Roman"/>
      <family val="1"/>
      <charset val="204"/>
    </font>
    <font>
      <i/>
      <sz val="7"/>
      <color indexed="12"/>
      <name val="Times New Roman"/>
      <family val="1"/>
      <charset val="204"/>
    </font>
    <font>
      <sz val="9"/>
      <color indexed="8"/>
      <name val="Times New Roman"/>
      <family val="1"/>
      <charset val="204"/>
    </font>
    <font>
      <sz val="12"/>
      <name val="Times New Roman"/>
      <family val="1"/>
      <charset val="204"/>
    </font>
    <font>
      <sz val="12"/>
      <color indexed="17"/>
      <name val="Times New Roman"/>
      <family val="1"/>
      <charset val="204"/>
    </font>
    <font>
      <sz val="8"/>
      <color indexed="17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9"/>
      <color indexed="81"/>
      <name val="Tahoma"/>
      <family val="2"/>
      <charset val="204"/>
    </font>
    <font>
      <sz val="9"/>
      <color indexed="81"/>
      <name val="Tahoma"/>
      <family val="2"/>
      <charset val="204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2F6EA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8" tint="0.79998168889431442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201">
    <xf numFmtId="0" fontId="0" fillId="0" borderId="0" xfId="0"/>
    <xf numFmtId="0" fontId="2" fillId="0" borderId="0" xfId="0" applyFont="1" applyAlignment="1" applyProtection="1">
      <alignment horizontal="left" wrapText="1"/>
      <protection locked="0"/>
    </xf>
    <xf numFmtId="0" fontId="3" fillId="0" borderId="0" xfId="0" applyNumberFormat="1" applyFont="1" applyFill="1" applyAlignment="1" applyProtection="1">
      <alignment wrapText="1"/>
      <protection locked="0"/>
    </xf>
    <xf numFmtId="0" fontId="4" fillId="0" borderId="0" xfId="0" applyFont="1" applyFill="1" applyBorder="1" applyAlignment="1" applyProtection="1">
      <alignment vertical="top" wrapText="1"/>
      <protection locked="0"/>
    </xf>
    <xf numFmtId="0" fontId="5" fillId="0" borderId="0" xfId="0" applyFont="1" applyFill="1" applyBorder="1" applyAlignment="1" applyProtection="1">
      <alignment vertical="top" wrapText="1"/>
      <protection locked="0"/>
    </xf>
    <xf numFmtId="164" fontId="4" fillId="0" borderId="0" xfId="0" applyNumberFormat="1" applyFont="1" applyFill="1" applyBorder="1" applyAlignment="1" applyProtection="1">
      <alignment vertical="top" wrapText="1"/>
      <protection locked="0"/>
    </xf>
    <xf numFmtId="0" fontId="11" fillId="0" borderId="3" xfId="0" applyFont="1" applyFill="1" applyBorder="1" applyAlignment="1" applyProtection="1">
      <alignment horizontal="center" vertical="center" wrapText="1"/>
    </xf>
    <xf numFmtId="0" fontId="7" fillId="2" borderId="3" xfId="0" applyFont="1" applyFill="1" applyBorder="1" applyAlignment="1" applyProtection="1">
      <alignment horizontal="center" vertical="center" wrapText="1"/>
    </xf>
    <xf numFmtId="0" fontId="7" fillId="0" borderId="3" xfId="0" applyFont="1" applyFill="1" applyBorder="1" applyAlignment="1" applyProtection="1">
      <alignment horizontal="center" vertical="center" wrapText="1"/>
    </xf>
    <xf numFmtId="0" fontId="12" fillId="0" borderId="3" xfId="0" applyFont="1" applyFill="1" applyBorder="1" applyAlignment="1" applyProtection="1">
      <alignment horizontal="center" vertical="center" wrapText="1"/>
    </xf>
    <xf numFmtId="0" fontId="8" fillId="0" borderId="3" xfId="0" applyFont="1" applyFill="1" applyBorder="1" applyAlignment="1" applyProtection="1">
      <alignment horizontal="center" vertical="center" wrapText="1"/>
    </xf>
    <xf numFmtId="3" fontId="13" fillId="3" borderId="3" xfId="0" applyNumberFormat="1" applyFont="1" applyFill="1" applyBorder="1" applyAlignment="1" applyProtection="1">
      <alignment horizontal="left" wrapText="1"/>
    </xf>
    <xf numFmtId="49" fontId="6" fillId="3" borderId="3" xfId="0" applyNumberFormat="1" applyFont="1" applyFill="1" applyBorder="1" applyAlignment="1" applyProtection="1">
      <alignment horizontal="justify" wrapText="1"/>
    </xf>
    <xf numFmtId="3" fontId="6" fillId="3" borderId="3" xfId="0" applyNumberFormat="1" applyFont="1" applyFill="1" applyBorder="1" applyAlignment="1" applyProtection="1">
      <alignment horizontal="center" vertical="center" wrapText="1"/>
    </xf>
    <xf numFmtId="164" fontId="12" fillId="3" borderId="3" xfId="1" applyNumberFormat="1" applyFont="1" applyFill="1" applyBorder="1" applyAlignment="1" applyProtection="1">
      <alignment horizontal="center" vertical="center" wrapText="1"/>
    </xf>
    <xf numFmtId="49" fontId="13" fillId="0" borderId="3" xfId="0" applyNumberFormat="1" applyFont="1" applyFill="1" applyBorder="1" applyAlignment="1" applyProtection="1">
      <alignment horizontal="left" wrapText="1"/>
    </xf>
    <xf numFmtId="49" fontId="14" fillId="0" borderId="3" xfId="0" applyNumberFormat="1" applyFont="1" applyFill="1" applyBorder="1" applyAlignment="1" applyProtection="1">
      <alignment horizontal="justify" wrapText="1"/>
    </xf>
    <xf numFmtId="3" fontId="14" fillId="0" borderId="3" xfId="0" applyNumberFormat="1" applyFont="1" applyFill="1" applyBorder="1" applyAlignment="1" applyProtection="1">
      <alignment horizontal="center" vertical="center" wrapText="1"/>
    </xf>
    <xf numFmtId="3" fontId="6" fillId="2" borderId="3" xfId="0" applyNumberFormat="1" applyFont="1" applyFill="1" applyBorder="1" applyAlignment="1" applyProtection="1">
      <alignment horizontal="center" vertical="center" wrapText="1"/>
    </xf>
    <xf numFmtId="164" fontId="12" fillId="2" borderId="3" xfId="1" applyNumberFormat="1" applyFont="1" applyFill="1" applyBorder="1" applyAlignment="1" applyProtection="1">
      <alignment horizontal="center" vertical="center" wrapText="1"/>
    </xf>
    <xf numFmtId="49" fontId="15" fillId="0" borderId="3" xfId="0" applyNumberFormat="1" applyFont="1" applyFill="1" applyBorder="1" applyAlignment="1" applyProtection="1">
      <alignment horizontal="left" wrapText="1"/>
    </xf>
    <xf numFmtId="49" fontId="16" fillId="0" borderId="3" xfId="0" applyNumberFormat="1" applyFont="1" applyFill="1" applyBorder="1" applyAlignment="1" applyProtection="1">
      <alignment horizontal="justify" wrapText="1"/>
    </xf>
    <xf numFmtId="3" fontId="16" fillId="0" borderId="3" xfId="0" applyNumberFormat="1" applyFont="1" applyFill="1" applyBorder="1" applyAlignment="1" applyProtection="1">
      <alignment horizontal="center" vertical="center" wrapText="1"/>
      <protection locked="0"/>
    </xf>
    <xf numFmtId="164" fontId="17" fillId="2" borderId="3" xfId="1" applyNumberFormat="1" applyFont="1" applyFill="1" applyBorder="1" applyAlignment="1" applyProtection="1">
      <alignment horizontal="center" vertical="center" wrapText="1"/>
      <protection locked="0"/>
    </xf>
    <xf numFmtId="49" fontId="2" fillId="0" borderId="3" xfId="0" applyNumberFormat="1" applyFont="1" applyFill="1" applyBorder="1" applyAlignment="1" applyProtection="1">
      <alignment horizontal="left" wrapText="1"/>
    </xf>
    <xf numFmtId="49" fontId="18" fillId="0" borderId="3" xfId="0" applyNumberFormat="1" applyFont="1" applyFill="1" applyBorder="1" applyAlignment="1" applyProtection="1">
      <alignment horizontal="justify" wrapText="1"/>
    </xf>
    <xf numFmtId="3" fontId="18" fillId="0" borderId="3" xfId="0" applyNumberFormat="1" applyFont="1" applyFill="1" applyBorder="1" applyAlignment="1" applyProtection="1">
      <alignment horizontal="center" vertical="center" wrapText="1"/>
      <protection locked="0"/>
    </xf>
    <xf numFmtId="3" fontId="18" fillId="0" borderId="3" xfId="0" applyNumberFormat="1" applyFont="1" applyFill="1" applyBorder="1" applyAlignment="1" applyProtection="1">
      <alignment horizontal="center" vertical="center" wrapText="1"/>
    </xf>
    <xf numFmtId="3" fontId="18" fillId="2" borderId="3" xfId="0" applyNumberFormat="1" applyFont="1" applyFill="1" applyBorder="1" applyAlignment="1" applyProtection="1">
      <alignment horizontal="center" vertical="center" wrapText="1"/>
    </xf>
    <xf numFmtId="3" fontId="16" fillId="0" borderId="3" xfId="0" applyNumberFormat="1" applyFont="1" applyFill="1" applyBorder="1" applyAlignment="1" applyProtection="1">
      <alignment horizontal="center" vertical="center" wrapText="1"/>
    </xf>
    <xf numFmtId="3" fontId="14" fillId="2" borderId="3" xfId="0" applyNumberFormat="1" applyFont="1" applyFill="1" applyBorder="1" applyAlignment="1" applyProtection="1">
      <alignment horizontal="center" vertical="center" wrapText="1"/>
    </xf>
    <xf numFmtId="164" fontId="17" fillId="2" borderId="3" xfId="1" applyNumberFormat="1" applyFont="1" applyFill="1" applyBorder="1" applyAlignment="1" applyProtection="1">
      <alignment horizontal="center" vertical="center" wrapText="1"/>
    </xf>
    <xf numFmtId="49" fontId="18" fillId="0" borderId="3" xfId="0" applyNumberFormat="1" applyFont="1" applyFill="1" applyBorder="1" applyAlignment="1" applyProtection="1">
      <alignment horizontal="justify" vertical="center" wrapText="1"/>
    </xf>
    <xf numFmtId="49" fontId="19" fillId="0" borderId="3" xfId="0" applyNumberFormat="1" applyFont="1" applyFill="1" applyBorder="1" applyAlignment="1" applyProtection="1">
      <alignment horizontal="left" wrapText="1"/>
    </xf>
    <xf numFmtId="49" fontId="19" fillId="2" borderId="3" xfId="0" applyNumberFormat="1" applyFont="1" applyFill="1" applyBorder="1" applyAlignment="1" applyProtection="1">
      <alignment horizontal="justify" wrapText="1"/>
    </xf>
    <xf numFmtId="3" fontId="19" fillId="0" borderId="3" xfId="0" applyNumberFormat="1" applyFont="1" applyFill="1" applyBorder="1" applyAlignment="1" applyProtection="1">
      <alignment horizontal="center" vertical="center" wrapText="1"/>
      <protection locked="0"/>
    </xf>
    <xf numFmtId="3" fontId="20" fillId="2" borderId="3" xfId="0" applyNumberFormat="1" applyFont="1" applyFill="1" applyBorder="1" applyAlignment="1" applyProtection="1">
      <alignment horizontal="center" vertical="center" wrapText="1"/>
    </xf>
    <xf numFmtId="164" fontId="21" fillId="2" borderId="3" xfId="1" applyNumberFormat="1" applyFont="1" applyFill="1" applyBorder="1" applyAlignment="1" applyProtection="1">
      <alignment horizontal="center" vertical="center" wrapText="1"/>
    </xf>
    <xf numFmtId="49" fontId="22" fillId="0" borderId="3" xfId="0" applyNumberFormat="1" applyFont="1" applyFill="1" applyBorder="1" applyAlignment="1" applyProtection="1">
      <alignment horizontal="left" wrapText="1"/>
    </xf>
    <xf numFmtId="3" fontId="6" fillId="0" borderId="3" xfId="0" applyNumberFormat="1" applyFont="1" applyFill="1" applyBorder="1" applyAlignment="1" applyProtection="1">
      <alignment horizontal="center" vertical="center" wrapText="1"/>
    </xf>
    <xf numFmtId="3" fontId="3" fillId="0" borderId="3" xfId="0" applyNumberFormat="1" applyFont="1" applyFill="1" applyBorder="1" applyAlignment="1" applyProtection="1">
      <alignment vertical="center" wrapText="1"/>
      <protection locked="0"/>
    </xf>
    <xf numFmtId="3" fontId="13" fillId="2" borderId="3" xfId="0" applyNumberFormat="1" applyFont="1" applyFill="1" applyBorder="1" applyAlignment="1" applyProtection="1">
      <alignment horizontal="left" wrapText="1"/>
    </xf>
    <xf numFmtId="49" fontId="6" fillId="2" borderId="3" xfId="0" applyNumberFormat="1" applyFont="1" applyFill="1" applyBorder="1" applyAlignment="1" applyProtection="1">
      <alignment horizontal="justify" wrapText="1"/>
    </xf>
    <xf numFmtId="3" fontId="13" fillId="4" borderId="3" xfId="0" applyNumberFormat="1" applyFont="1" applyFill="1" applyBorder="1" applyAlignment="1" applyProtection="1">
      <alignment horizontal="left" wrapText="1"/>
    </xf>
    <xf numFmtId="49" fontId="23" fillId="4" borderId="3" xfId="0" applyNumberFormat="1" applyFont="1" applyFill="1" applyBorder="1" applyAlignment="1" applyProtection="1">
      <alignment horizontal="justify" wrapText="1"/>
    </xf>
    <xf numFmtId="3" fontId="7" fillId="4" borderId="3" xfId="0" applyNumberFormat="1" applyFont="1" applyFill="1" applyBorder="1" applyAlignment="1" applyProtection="1">
      <alignment horizontal="center" vertical="center" wrapText="1"/>
    </xf>
    <xf numFmtId="3" fontId="6" fillId="4" borderId="3" xfId="0" applyNumberFormat="1" applyFont="1" applyFill="1" applyBorder="1" applyAlignment="1" applyProtection="1">
      <alignment horizontal="center" vertical="center" wrapText="1"/>
    </xf>
    <xf numFmtId="164" fontId="12" fillId="4" borderId="3" xfId="1" applyNumberFormat="1" applyFont="1" applyFill="1" applyBorder="1" applyAlignment="1" applyProtection="1">
      <alignment horizontal="center" vertical="center" wrapText="1"/>
    </xf>
    <xf numFmtId="3" fontId="13" fillId="5" borderId="3" xfId="0" applyNumberFormat="1" applyFont="1" applyFill="1" applyBorder="1" applyAlignment="1" applyProtection="1">
      <alignment horizontal="left" wrapText="1"/>
    </xf>
    <xf numFmtId="49" fontId="23" fillId="0" borderId="3" xfId="0" applyNumberFormat="1" applyFont="1" applyFill="1" applyBorder="1" applyAlignment="1" applyProtection="1">
      <alignment horizontal="center" wrapText="1"/>
    </xf>
    <xf numFmtId="3" fontId="7" fillId="0" borderId="3" xfId="0" applyNumberFormat="1" applyFont="1" applyFill="1" applyBorder="1" applyAlignment="1" applyProtection="1">
      <alignment horizontal="center" vertical="center" wrapText="1"/>
    </xf>
    <xf numFmtId="164" fontId="12" fillId="0" borderId="3" xfId="1" applyNumberFormat="1" applyFont="1" applyFill="1" applyBorder="1" applyAlignment="1" applyProtection="1">
      <alignment horizontal="center" vertical="center" wrapText="1"/>
    </xf>
    <xf numFmtId="49" fontId="2" fillId="5" borderId="3" xfId="0" applyNumberFormat="1" applyFont="1" applyFill="1" applyBorder="1" applyAlignment="1" applyProtection="1">
      <alignment horizontal="left" wrapText="1"/>
    </xf>
    <xf numFmtId="3" fontId="18" fillId="0" borderId="3" xfId="0" applyNumberFormat="1" applyFont="1" applyFill="1" applyBorder="1" applyAlignment="1" applyProtection="1">
      <alignment vertical="center" wrapText="1"/>
      <protection locked="0"/>
    </xf>
    <xf numFmtId="49" fontId="19" fillId="5" borderId="3" xfId="0" applyNumberFormat="1" applyFont="1" applyFill="1" applyBorder="1" applyAlignment="1" applyProtection="1">
      <alignment horizontal="left" wrapText="1"/>
    </xf>
    <xf numFmtId="49" fontId="19" fillId="0" borderId="3" xfId="0" applyNumberFormat="1" applyFont="1" applyFill="1" applyBorder="1" applyAlignment="1" applyProtection="1">
      <alignment horizontal="justify" vertical="center" wrapText="1"/>
    </xf>
    <xf numFmtId="3" fontId="19" fillId="0" borderId="3" xfId="0" applyNumberFormat="1" applyFont="1" applyFill="1" applyBorder="1" applyAlignment="1" applyProtection="1">
      <alignment vertical="center" wrapText="1"/>
      <protection locked="0"/>
    </xf>
    <xf numFmtId="3" fontId="20" fillId="0" borderId="3" xfId="0" applyNumberFormat="1" applyFont="1" applyFill="1" applyBorder="1" applyAlignment="1" applyProtection="1">
      <alignment horizontal="center" vertical="center" wrapText="1"/>
    </xf>
    <xf numFmtId="164" fontId="21" fillId="0" borderId="3" xfId="1" applyNumberFormat="1" applyFont="1" applyFill="1" applyBorder="1" applyAlignment="1" applyProtection="1">
      <alignment horizontal="center" vertical="center" wrapText="1"/>
    </xf>
    <xf numFmtId="3" fontId="11" fillId="0" borderId="3" xfId="0" applyNumberFormat="1" applyFont="1" applyFill="1" applyBorder="1" applyAlignment="1" applyProtection="1">
      <alignment vertical="center" wrapText="1"/>
      <protection locked="0"/>
    </xf>
    <xf numFmtId="49" fontId="23" fillId="6" borderId="3" xfId="0" applyNumberFormat="1" applyFont="1" applyFill="1" applyBorder="1" applyAlignment="1" applyProtection="1">
      <alignment horizontal="justify" vertical="center" wrapText="1"/>
    </xf>
    <xf numFmtId="3" fontId="6" fillId="6" borderId="3" xfId="0" applyNumberFormat="1" applyFont="1" applyFill="1" applyBorder="1" applyAlignment="1" applyProtection="1">
      <alignment horizontal="center" vertical="center" wrapText="1"/>
    </xf>
    <xf numFmtId="3" fontId="7" fillId="6" borderId="3" xfId="0" applyNumberFormat="1" applyFont="1" applyFill="1" applyBorder="1" applyAlignment="1" applyProtection="1">
      <alignment horizontal="center" vertical="center" wrapText="1"/>
    </xf>
    <xf numFmtId="164" fontId="8" fillId="6" borderId="3" xfId="1" applyNumberFormat="1" applyFont="1" applyFill="1" applyBorder="1" applyAlignment="1" applyProtection="1">
      <alignment horizontal="center" vertical="center" wrapText="1"/>
    </xf>
    <xf numFmtId="164" fontId="12" fillId="6" borderId="3" xfId="1" applyNumberFormat="1" applyFont="1" applyFill="1" applyBorder="1" applyAlignment="1" applyProtection="1">
      <alignment horizontal="center" vertical="center" wrapText="1"/>
    </xf>
    <xf numFmtId="49" fontId="16" fillId="6" borderId="3" xfId="0" applyNumberFormat="1" applyFont="1" applyFill="1" applyBorder="1" applyAlignment="1" applyProtection="1">
      <alignment horizontal="justify" vertical="center" wrapText="1"/>
    </xf>
    <xf numFmtId="3" fontId="16" fillId="6" borderId="3" xfId="0" applyNumberFormat="1" applyFont="1" applyFill="1" applyBorder="1" applyAlignment="1" applyProtection="1">
      <alignment horizontal="center" vertical="center" wrapText="1"/>
      <protection locked="0"/>
    </xf>
    <xf numFmtId="3" fontId="24" fillId="6" borderId="3" xfId="0" applyNumberFormat="1" applyFont="1" applyFill="1" applyBorder="1" applyAlignment="1" applyProtection="1">
      <alignment vertical="center"/>
      <protection locked="0"/>
    </xf>
    <xf numFmtId="3" fontId="14" fillId="6" borderId="3" xfId="0" applyNumberFormat="1" applyFont="1" applyFill="1" applyBorder="1" applyAlignment="1" applyProtection="1">
      <alignment horizontal="center" vertical="center" wrapText="1"/>
    </xf>
    <xf numFmtId="164" fontId="17" fillId="6" borderId="3" xfId="1" applyNumberFormat="1" applyFont="1" applyFill="1" applyBorder="1" applyAlignment="1" applyProtection="1">
      <alignment horizontal="center" vertical="center" wrapText="1"/>
    </xf>
    <xf numFmtId="3" fontId="11" fillId="0" borderId="3" xfId="0" applyNumberFormat="1" applyFont="1" applyFill="1" applyBorder="1" applyAlignment="1" applyProtection="1">
      <alignment vertical="center"/>
      <protection locked="0"/>
    </xf>
    <xf numFmtId="49" fontId="23" fillId="0" borderId="3" xfId="0" applyNumberFormat="1" applyFont="1" applyFill="1" applyBorder="1" applyAlignment="1" applyProtection="1">
      <alignment horizontal="center" vertical="center" wrapText="1"/>
    </xf>
    <xf numFmtId="3" fontId="25" fillId="3" borderId="3" xfId="0" applyNumberFormat="1" applyFont="1" applyFill="1" applyBorder="1" applyAlignment="1" applyProtection="1">
      <alignment horizontal="left" wrapText="1"/>
    </xf>
    <xf numFmtId="3" fontId="7" fillId="3" borderId="3" xfId="0" applyNumberFormat="1" applyFont="1" applyFill="1" applyBorder="1" applyAlignment="1" applyProtection="1">
      <alignment horizontal="center" vertical="center" wrapText="1"/>
    </xf>
    <xf numFmtId="49" fontId="26" fillId="2" borderId="3" xfId="0" applyNumberFormat="1" applyFont="1" applyFill="1" applyBorder="1" applyAlignment="1" applyProtection="1">
      <alignment horizontal="justify" wrapText="1"/>
    </xf>
    <xf numFmtId="3" fontId="7" fillId="2" borderId="3" xfId="0" applyNumberFormat="1" applyFont="1" applyFill="1" applyBorder="1" applyAlignment="1" applyProtection="1">
      <alignment horizontal="center" vertical="center" wrapText="1"/>
    </xf>
    <xf numFmtId="3" fontId="29" fillId="2" borderId="3" xfId="0" applyNumberFormat="1" applyFont="1" applyFill="1" applyBorder="1" applyAlignment="1" applyProtection="1">
      <alignment horizontal="center" vertical="center" wrapText="1"/>
      <protection locked="0"/>
    </xf>
    <xf numFmtId="3" fontId="30" fillId="2" borderId="3" xfId="0" applyNumberFormat="1" applyFont="1" applyFill="1" applyBorder="1" applyAlignment="1" applyProtection="1">
      <alignment horizontal="center" vertical="center" wrapText="1"/>
      <protection locked="0"/>
    </xf>
    <xf numFmtId="3" fontId="27" fillId="0" borderId="3" xfId="0" applyNumberFormat="1" applyFont="1" applyFill="1" applyBorder="1" applyAlignment="1" applyProtection="1">
      <alignment horizontal="center" vertical="center" wrapText="1"/>
      <protection locked="0"/>
    </xf>
    <xf numFmtId="3" fontId="29" fillId="0" borderId="3" xfId="0" applyNumberFormat="1" applyFont="1" applyFill="1" applyBorder="1" applyAlignment="1" applyProtection="1">
      <alignment vertical="center"/>
      <protection locked="0"/>
    </xf>
    <xf numFmtId="164" fontId="31" fillId="0" borderId="3" xfId="1" applyNumberFormat="1" applyFont="1" applyFill="1" applyBorder="1" applyAlignment="1" applyProtection="1">
      <alignment horizontal="center" vertical="center" wrapText="1"/>
      <protection locked="0"/>
    </xf>
    <xf numFmtId="49" fontId="6" fillId="0" borderId="3" xfId="0" applyNumberFormat="1" applyFont="1" applyFill="1" applyBorder="1" applyAlignment="1" applyProtection="1">
      <alignment horizontal="justify" wrapText="1"/>
    </xf>
    <xf numFmtId="3" fontId="7" fillId="0" borderId="3" xfId="0" applyNumberFormat="1" applyFont="1" applyFill="1" applyBorder="1" applyAlignment="1" applyProtection="1">
      <alignment horizontal="center" wrapText="1"/>
    </xf>
    <xf numFmtId="3" fontId="7" fillId="2" borderId="3" xfId="0" applyNumberFormat="1" applyFont="1" applyFill="1" applyBorder="1" applyAlignment="1" applyProtection="1">
      <alignment horizontal="center" wrapText="1"/>
    </xf>
    <xf numFmtId="3" fontId="7" fillId="0" borderId="3" xfId="0" applyNumberFormat="1" applyFont="1" applyFill="1" applyBorder="1" applyAlignment="1" applyProtection="1">
      <alignment horizontal="center" wrapText="1"/>
      <protection locked="0"/>
    </xf>
    <xf numFmtId="3" fontId="32" fillId="0" borderId="3" xfId="0" applyNumberFormat="1" applyFont="1" applyFill="1" applyBorder="1" applyAlignment="1" applyProtection="1">
      <alignment horizontal="center" wrapText="1"/>
    </xf>
    <xf numFmtId="3" fontId="8" fillId="0" borderId="3" xfId="0" applyNumberFormat="1" applyFont="1" applyFill="1" applyBorder="1" applyAlignment="1" applyProtection="1">
      <alignment horizontal="center" wrapText="1"/>
    </xf>
    <xf numFmtId="3" fontId="11" fillId="0" borderId="3" xfId="0" applyNumberFormat="1" applyFont="1" applyFill="1" applyBorder="1" applyAlignment="1" applyProtection="1">
      <alignment horizontal="center" wrapText="1"/>
      <protection locked="0"/>
    </xf>
    <xf numFmtId="0" fontId="18" fillId="0" borderId="3" xfId="0" applyNumberFormat="1" applyFont="1" applyFill="1" applyBorder="1" applyAlignment="1" applyProtection="1">
      <alignment horizontal="justify" vertical="center" wrapText="1"/>
    </xf>
    <xf numFmtId="3" fontId="33" fillId="0" borderId="3" xfId="0" applyNumberFormat="1" applyFont="1" applyFill="1" applyBorder="1" applyAlignment="1" applyProtection="1">
      <alignment horizontal="center" wrapText="1"/>
    </xf>
    <xf numFmtId="3" fontId="6" fillId="0" borderId="3" xfId="0" applyNumberFormat="1" applyFont="1" applyFill="1" applyBorder="1" applyAlignment="1" applyProtection="1">
      <alignment horizontal="center" wrapText="1"/>
      <protection locked="0"/>
    </xf>
    <xf numFmtId="3" fontId="8" fillId="0" borderId="3" xfId="0" applyNumberFormat="1" applyFont="1" applyFill="1" applyBorder="1" applyAlignment="1" applyProtection="1">
      <alignment horizontal="center" wrapText="1"/>
      <protection locked="0"/>
    </xf>
    <xf numFmtId="3" fontId="13" fillId="0" borderId="3" xfId="0" applyNumberFormat="1" applyFont="1" applyFill="1" applyBorder="1" applyAlignment="1" applyProtection="1">
      <alignment horizontal="left" wrapText="1"/>
    </xf>
    <xf numFmtId="49" fontId="6" fillId="0" borderId="3" xfId="0" applyNumberFormat="1" applyFont="1" applyFill="1" applyBorder="1" applyAlignment="1" applyProtection="1">
      <alignment horizontal="justify" vertical="center" wrapText="1"/>
    </xf>
    <xf numFmtId="3" fontId="33" fillId="2" borderId="3" xfId="0" applyNumberFormat="1" applyFont="1" applyFill="1" applyBorder="1" applyAlignment="1" applyProtection="1">
      <alignment horizontal="center" wrapText="1"/>
    </xf>
    <xf numFmtId="3" fontId="18" fillId="0" borderId="3" xfId="0" applyNumberFormat="1" applyFont="1" applyFill="1" applyBorder="1" applyAlignment="1" applyProtection="1">
      <alignment horizontal="center" wrapText="1"/>
      <protection locked="0"/>
    </xf>
    <xf numFmtId="3" fontId="12" fillId="0" borderId="3" xfId="0" applyNumberFormat="1" applyFont="1" applyFill="1" applyBorder="1" applyAlignment="1" applyProtection="1">
      <alignment horizontal="center" wrapText="1"/>
      <protection locked="0"/>
    </xf>
    <xf numFmtId="3" fontId="34" fillId="0" borderId="3" xfId="0" applyNumberFormat="1" applyFont="1" applyFill="1" applyBorder="1" applyAlignment="1" applyProtection="1">
      <alignment horizontal="left" wrapText="1"/>
    </xf>
    <xf numFmtId="3" fontId="35" fillId="0" borderId="3" xfId="0" applyNumberFormat="1" applyFont="1" applyFill="1" applyBorder="1" applyAlignment="1" applyProtection="1">
      <alignment horizontal="left" wrapText="1"/>
    </xf>
    <xf numFmtId="3" fontId="7" fillId="2" borderId="3" xfId="0" applyNumberFormat="1" applyFont="1" applyFill="1" applyBorder="1" applyAlignment="1" applyProtection="1">
      <alignment horizontal="center" wrapText="1"/>
      <protection locked="0"/>
    </xf>
    <xf numFmtId="164" fontId="7" fillId="0" borderId="3" xfId="0" applyNumberFormat="1" applyFont="1" applyFill="1" applyBorder="1" applyAlignment="1" applyProtection="1">
      <alignment horizontal="center" wrapText="1"/>
    </xf>
    <xf numFmtId="0" fontId="6" fillId="0" borderId="3" xfId="0" applyFont="1" applyFill="1" applyBorder="1" applyAlignment="1" applyProtection="1">
      <alignment horizontal="justify" wrapText="1"/>
    </xf>
    <xf numFmtId="3" fontId="18" fillId="0" borderId="3" xfId="0" applyNumberFormat="1" applyFont="1" applyBorder="1" applyAlignment="1" applyProtection="1">
      <alignment wrapText="1"/>
    </xf>
    <xf numFmtId="3" fontId="0" fillId="2" borderId="3" xfId="0" applyNumberFormat="1" applyFont="1" applyFill="1" applyBorder="1" applyAlignment="1" applyProtection="1">
      <alignment wrapText="1"/>
      <protection locked="0"/>
    </xf>
    <xf numFmtId="0" fontId="18" fillId="0" borderId="3" xfId="0" applyFont="1" applyBorder="1" applyAlignment="1" applyProtection="1">
      <alignment wrapText="1"/>
    </xf>
    <xf numFmtId="0" fontId="2" fillId="0" borderId="3" xfId="0" applyFont="1" applyFill="1" applyBorder="1" applyAlignment="1" applyProtection="1">
      <alignment horizontal="left" wrapText="1"/>
    </xf>
    <xf numFmtId="3" fontId="36" fillId="0" borderId="3" xfId="0" applyNumberFormat="1" applyFont="1" applyFill="1" applyBorder="1" applyAlignment="1" applyProtection="1">
      <alignment horizontal="justify" vertical="center" wrapText="1"/>
    </xf>
    <xf numFmtId="3" fontId="0" fillId="0" borderId="3" xfId="0" applyNumberFormat="1" applyFont="1" applyBorder="1" applyAlignment="1" applyProtection="1">
      <alignment wrapText="1"/>
      <protection locked="0"/>
    </xf>
    <xf numFmtId="3" fontId="11" fillId="0" borderId="3" xfId="0" applyNumberFormat="1" applyFont="1" applyFill="1" applyBorder="1" applyAlignment="1" applyProtection="1">
      <protection locked="0"/>
    </xf>
    <xf numFmtId="3" fontId="18" fillId="0" borderId="3" xfId="0" applyNumberFormat="1" applyFont="1" applyFill="1" applyBorder="1" applyAlignment="1" applyProtection="1">
      <protection locked="0"/>
    </xf>
    <xf numFmtId="3" fontId="18" fillId="0" borderId="3" xfId="0" applyNumberFormat="1" applyFont="1" applyFill="1" applyBorder="1" applyAlignment="1" applyProtection="1">
      <alignment horizontal="center"/>
      <protection locked="0"/>
    </xf>
    <xf numFmtId="3" fontId="36" fillId="0" borderId="6" xfId="0" applyNumberFormat="1" applyFont="1" applyFill="1" applyBorder="1" applyAlignment="1" applyProtection="1">
      <alignment horizontal="justify" vertical="center" wrapText="1"/>
    </xf>
    <xf numFmtId="3" fontId="11" fillId="0" borderId="3" xfId="0" applyNumberFormat="1" applyFont="1" applyFill="1" applyBorder="1" applyAlignment="1" applyProtection="1">
      <alignment wrapText="1"/>
      <protection locked="0"/>
    </xf>
    <xf numFmtId="3" fontId="18" fillId="0" borderId="3" xfId="0" applyNumberFormat="1" applyFont="1" applyFill="1" applyBorder="1" applyAlignment="1" applyProtection="1">
      <alignment wrapText="1"/>
      <protection locked="0"/>
    </xf>
    <xf numFmtId="0" fontId="3" fillId="0" borderId="6" xfId="0" applyNumberFormat="1" applyFont="1" applyFill="1" applyBorder="1" applyAlignment="1" applyProtection="1">
      <alignment horizontal="justify" wrapText="1"/>
    </xf>
    <xf numFmtId="3" fontId="18" fillId="0" borderId="3" xfId="0" applyNumberFormat="1" applyFont="1" applyFill="1" applyBorder="1" applyAlignment="1" applyProtection="1">
      <alignment wrapText="1"/>
    </xf>
    <xf numFmtId="3" fontId="18" fillId="2" borderId="3" xfId="0" applyNumberFormat="1" applyFont="1" applyFill="1" applyBorder="1" applyAlignment="1" applyProtection="1">
      <alignment wrapText="1"/>
    </xf>
    <xf numFmtId="3" fontId="3" fillId="0" borderId="3" xfId="0" applyNumberFormat="1" applyFont="1" applyFill="1" applyBorder="1" applyAlignment="1" applyProtection="1">
      <alignment wrapText="1"/>
    </xf>
    <xf numFmtId="164" fontId="18" fillId="0" borderId="3" xfId="0" applyNumberFormat="1" applyFont="1" applyFill="1" applyBorder="1" applyAlignment="1" applyProtection="1">
      <alignment wrapText="1"/>
    </xf>
    <xf numFmtId="0" fontId="6" fillId="0" borderId="6" xfId="0" applyNumberFormat="1" applyFont="1" applyFill="1" applyBorder="1" applyAlignment="1" applyProtection="1">
      <alignment horizontal="justify" wrapText="1"/>
    </xf>
    <xf numFmtId="0" fontId="3" fillId="0" borderId="3" xfId="0" applyNumberFormat="1" applyFont="1" applyFill="1" applyBorder="1" applyAlignment="1" applyProtection="1">
      <alignment wrapText="1"/>
    </xf>
    <xf numFmtId="0" fontId="3" fillId="0" borderId="3" xfId="0" applyNumberFormat="1" applyFont="1" applyFill="1" applyBorder="1" applyAlignment="1" applyProtection="1">
      <alignment horizontal="center" wrapText="1"/>
    </xf>
    <xf numFmtId="0" fontId="3" fillId="2" borderId="3" xfId="0" applyNumberFormat="1" applyFont="1" applyFill="1" applyBorder="1" applyAlignment="1" applyProtection="1">
      <alignment horizontal="center" wrapText="1"/>
    </xf>
    <xf numFmtId="0" fontId="18" fillId="0" borderId="3" xfId="0" applyNumberFormat="1" applyFont="1" applyFill="1" applyBorder="1" applyAlignment="1" applyProtection="1">
      <alignment horizontal="center" wrapText="1"/>
    </xf>
    <xf numFmtId="164" fontId="18" fillId="0" borderId="3" xfId="0" applyNumberFormat="1" applyFont="1" applyFill="1" applyBorder="1" applyAlignment="1" applyProtection="1">
      <alignment horizontal="center" wrapText="1"/>
    </xf>
    <xf numFmtId="0" fontId="18" fillId="0" borderId="3" xfId="0" applyNumberFormat="1" applyFont="1" applyFill="1" applyBorder="1" applyAlignment="1" applyProtection="1">
      <alignment horizontal="center" wrapText="1"/>
      <protection locked="0"/>
    </xf>
    <xf numFmtId="49" fontId="19" fillId="0" borderId="3" xfId="0" applyNumberFormat="1" applyFont="1" applyFill="1" applyBorder="1" applyAlignment="1" applyProtection="1">
      <alignment horizontal="justify" wrapText="1"/>
    </xf>
    <xf numFmtId="0" fontId="18" fillId="0" borderId="6" xfId="0" applyNumberFormat="1" applyFont="1" applyFill="1" applyBorder="1" applyAlignment="1" applyProtection="1">
      <alignment horizontal="justify" wrapText="1"/>
    </xf>
    <xf numFmtId="0" fontId="3" fillId="0" borderId="3" xfId="0" applyNumberFormat="1" applyFont="1" applyFill="1" applyBorder="1" applyAlignment="1" applyProtection="1">
      <alignment wrapText="1"/>
      <protection locked="0"/>
    </xf>
    <xf numFmtId="0" fontId="3" fillId="2" borderId="3" xfId="0" applyNumberFormat="1" applyFont="1" applyFill="1" applyBorder="1" applyAlignment="1" applyProtection="1">
      <alignment horizontal="center" wrapText="1"/>
      <protection locked="0"/>
    </xf>
    <xf numFmtId="0" fontId="3" fillId="0" borderId="3" xfId="0" applyNumberFormat="1" applyFont="1" applyFill="1" applyBorder="1" applyAlignment="1" applyProtection="1">
      <alignment horizontal="center" wrapText="1"/>
      <protection locked="0"/>
    </xf>
    <xf numFmtId="0" fontId="18" fillId="2" borderId="6" xfId="0" applyNumberFormat="1" applyFont="1" applyFill="1" applyBorder="1" applyAlignment="1" applyProtection="1">
      <alignment horizontal="justify" vertical="center" wrapText="1"/>
    </xf>
    <xf numFmtId="0" fontId="11" fillId="0" borderId="3" xfId="0" applyNumberFormat="1" applyFont="1" applyFill="1" applyBorder="1" applyAlignment="1" applyProtection="1">
      <alignment wrapText="1"/>
      <protection locked="0"/>
    </xf>
    <xf numFmtId="0" fontId="18" fillId="0" borderId="3" xfId="0" applyFont="1" applyFill="1" applyBorder="1" applyAlignment="1" applyProtection="1">
      <alignment wrapText="1"/>
      <protection locked="0"/>
    </xf>
    <xf numFmtId="0" fontId="18" fillId="0" borderId="3" xfId="0" applyFont="1" applyFill="1" applyBorder="1" applyAlignment="1" applyProtection="1">
      <alignment horizontal="center" wrapText="1"/>
      <protection locked="0"/>
    </xf>
    <xf numFmtId="0" fontId="18" fillId="0" borderId="6" xfId="0" applyNumberFormat="1" applyFont="1" applyFill="1" applyBorder="1" applyAlignment="1" applyProtection="1">
      <alignment horizontal="justify" vertical="center" wrapText="1"/>
    </xf>
    <xf numFmtId="0" fontId="18" fillId="0" borderId="3" xfId="0" applyNumberFormat="1" applyFont="1" applyFill="1" applyBorder="1" applyAlignment="1" applyProtection="1">
      <alignment wrapText="1"/>
      <protection locked="0"/>
    </xf>
    <xf numFmtId="3" fontId="6" fillId="0" borderId="3" xfId="0" applyNumberFormat="1" applyFont="1" applyFill="1" applyBorder="1" applyAlignment="1" applyProtection="1">
      <alignment wrapText="1"/>
    </xf>
    <xf numFmtId="49" fontId="13" fillId="7" borderId="3" xfId="0" applyNumberFormat="1" applyFont="1" applyFill="1" applyBorder="1" applyAlignment="1" applyProtection="1">
      <alignment horizontal="left" wrapText="1"/>
      <protection locked="0"/>
    </xf>
    <xf numFmtId="3" fontId="6" fillId="7" borderId="3" xfId="0" applyNumberFormat="1" applyFont="1" applyFill="1" applyBorder="1" applyAlignment="1" applyProtection="1">
      <alignment wrapText="1"/>
      <protection locked="0"/>
    </xf>
    <xf numFmtId="0" fontId="5" fillId="7" borderId="3" xfId="0" applyNumberFormat="1" applyFont="1" applyFill="1" applyBorder="1" applyAlignment="1" applyProtection="1">
      <alignment horizontal="center" wrapText="1"/>
      <protection locked="0"/>
    </xf>
    <xf numFmtId="164" fontId="6" fillId="7" borderId="3" xfId="1" applyNumberFormat="1" applyFont="1" applyFill="1" applyBorder="1" applyAlignment="1" applyProtection="1">
      <alignment horizontal="center" vertical="center" wrapText="1"/>
      <protection locked="0"/>
    </xf>
    <xf numFmtId="3" fontId="18" fillId="7" borderId="3" xfId="0" applyNumberFormat="1" applyFont="1" applyFill="1" applyBorder="1" applyAlignment="1" applyProtection="1">
      <alignment wrapText="1"/>
      <protection locked="0"/>
    </xf>
    <xf numFmtId="0" fontId="3" fillId="7" borderId="3" xfId="0" applyNumberFormat="1" applyFont="1" applyFill="1" applyBorder="1" applyAlignment="1" applyProtection="1">
      <alignment horizontal="center" wrapText="1"/>
      <protection locked="0"/>
    </xf>
    <xf numFmtId="164" fontId="18" fillId="7" borderId="3" xfId="1" applyNumberFormat="1" applyFont="1" applyFill="1" applyBorder="1" applyAlignment="1" applyProtection="1">
      <alignment horizontal="center" vertical="center" wrapText="1"/>
      <protection locked="0"/>
    </xf>
    <xf numFmtId="0" fontId="37" fillId="0" borderId="0" xfId="0" applyFont="1" applyProtection="1">
      <protection locked="0"/>
    </xf>
    <xf numFmtId="0" fontId="37" fillId="0" borderId="0" xfId="0" applyNumberFormat="1" applyFont="1" applyFill="1" applyBorder="1" applyAlignment="1" applyProtection="1">
      <alignment wrapText="1"/>
      <protection locked="0"/>
    </xf>
    <xf numFmtId="0" fontId="37" fillId="2" borderId="0" xfId="0" applyNumberFormat="1" applyFont="1" applyFill="1" applyBorder="1" applyAlignment="1" applyProtection="1">
      <alignment wrapText="1"/>
      <protection locked="0"/>
    </xf>
    <xf numFmtId="0" fontId="38" fillId="0" borderId="0" xfId="0" applyNumberFormat="1" applyFont="1" applyFill="1" applyBorder="1" applyAlignment="1" applyProtection="1">
      <alignment wrapText="1"/>
      <protection locked="0"/>
    </xf>
    <xf numFmtId="3" fontId="39" fillId="0" borderId="0" xfId="0" applyNumberFormat="1" applyFont="1" applyFill="1" applyBorder="1" applyAlignment="1" applyProtection="1">
      <alignment wrapText="1"/>
      <protection locked="0"/>
    </xf>
    <xf numFmtId="0" fontId="39" fillId="0" borderId="0" xfId="0" applyNumberFormat="1" applyFont="1" applyFill="1" applyBorder="1" applyAlignment="1" applyProtection="1">
      <alignment wrapText="1"/>
      <protection locked="0"/>
    </xf>
    <xf numFmtId="0" fontId="3" fillId="0" borderId="0" xfId="0" applyFont="1" applyFill="1" applyBorder="1" applyAlignment="1" applyProtection="1">
      <alignment wrapText="1"/>
      <protection locked="0"/>
    </xf>
    <xf numFmtId="164" fontId="5" fillId="0" borderId="0" xfId="0" applyNumberFormat="1" applyFont="1" applyFill="1" applyBorder="1" applyAlignment="1" applyProtection="1">
      <alignment wrapText="1"/>
      <protection locked="0"/>
    </xf>
    <xf numFmtId="0" fontId="3" fillId="0" borderId="0" xfId="0" applyFont="1" applyFill="1" applyBorder="1" applyAlignment="1" applyProtection="1">
      <alignment horizontal="center" wrapText="1"/>
      <protection locked="0"/>
    </xf>
    <xf numFmtId="164" fontId="3" fillId="0" borderId="0" xfId="0" applyNumberFormat="1" applyFont="1" applyFill="1" applyBorder="1" applyAlignment="1" applyProtection="1">
      <alignment wrapText="1"/>
      <protection locked="0"/>
    </xf>
    <xf numFmtId="0" fontId="3" fillId="0" borderId="0" xfId="0" applyNumberFormat="1" applyFont="1" applyFill="1" applyBorder="1" applyAlignment="1" applyProtection="1">
      <alignment wrapText="1"/>
      <protection locked="0"/>
    </xf>
    <xf numFmtId="0" fontId="3" fillId="2" borderId="0" xfId="0" applyNumberFormat="1" applyFont="1" applyFill="1" applyBorder="1" applyAlignment="1" applyProtection="1">
      <alignment wrapText="1"/>
      <protection locked="0"/>
    </xf>
    <xf numFmtId="0" fontId="0" fillId="0" borderId="0" xfId="0" applyProtection="1">
      <protection locked="0"/>
    </xf>
    <xf numFmtId="49" fontId="18" fillId="0" borderId="0" xfId="0" applyNumberFormat="1" applyFont="1" applyFill="1" applyBorder="1" applyAlignment="1" applyProtection="1">
      <alignment horizontal="justify" vertical="center" wrapText="1"/>
      <protection locked="0"/>
    </xf>
    <xf numFmtId="3" fontId="18" fillId="0" borderId="0" xfId="0" applyNumberFormat="1" applyFont="1" applyFill="1" applyBorder="1" applyAlignment="1" applyProtection="1">
      <alignment wrapText="1"/>
      <protection locked="0"/>
    </xf>
    <xf numFmtId="3" fontId="6" fillId="0" borderId="0" xfId="0" applyNumberFormat="1" applyFont="1" applyFill="1" applyBorder="1" applyAlignment="1" applyProtection="1">
      <alignment wrapText="1"/>
      <protection locked="0"/>
    </xf>
    <xf numFmtId="164" fontId="12" fillId="0" borderId="0" xfId="1" applyNumberFormat="1" applyFont="1" applyFill="1" applyBorder="1" applyAlignment="1" applyProtection="1">
      <alignment horizontal="center" vertical="center" wrapText="1"/>
      <protection locked="0"/>
    </xf>
    <xf numFmtId="0" fontId="6" fillId="7" borderId="3" xfId="0" applyNumberFormat="1" applyFont="1" applyFill="1" applyBorder="1" applyAlignment="1" applyProtection="1">
      <alignment horizontal="center" wrapText="1"/>
      <protection locked="0"/>
    </xf>
    <xf numFmtId="0" fontId="18" fillId="7" borderId="3" xfId="0" applyNumberFormat="1" applyFont="1" applyFill="1" applyBorder="1" applyAlignment="1" applyProtection="1">
      <alignment horizontal="center" wrapText="1"/>
      <protection locked="0"/>
    </xf>
    <xf numFmtId="49" fontId="27" fillId="0" borderId="3" xfId="0" applyNumberFormat="1" applyFont="1" applyFill="1" applyBorder="1" applyAlignment="1" applyProtection="1">
      <alignment horizontal="left" wrapText="1"/>
      <protection locked="0"/>
    </xf>
    <xf numFmtId="49" fontId="27" fillId="0" borderId="3" xfId="0" applyNumberFormat="1" applyFont="1" applyFill="1" applyBorder="1" applyAlignment="1" applyProtection="1">
      <alignment horizontal="justify" vertical="center" wrapText="1"/>
      <protection locked="0"/>
    </xf>
    <xf numFmtId="0" fontId="6" fillId="7" borderId="3" xfId="0" applyNumberFormat="1" applyFont="1" applyFill="1" applyBorder="1" applyAlignment="1" applyProtection="1">
      <alignment horizontal="justify" vertical="center" wrapText="1"/>
      <protection locked="0"/>
    </xf>
    <xf numFmtId="0" fontId="18" fillId="7" borderId="3" xfId="0" applyNumberFormat="1" applyFont="1" applyFill="1" applyBorder="1" applyAlignment="1" applyProtection="1">
      <alignment horizontal="justify" vertical="center" wrapText="1"/>
      <protection locked="0"/>
    </xf>
    <xf numFmtId="0" fontId="0" fillId="0" borderId="0" xfId="0" applyFill="1"/>
    <xf numFmtId="3" fontId="0" fillId="2" borderId="3" xfId="0" applyNumberFormat="1" applyFont="1" applyFill="1" applyBorder="1" applyAlignment="1" applyProtection="1">
      <alignment wrapText="1"/>
    </xf>
    <xf numFmtId="0" fontId="0" fillId="0" borderId="0" xfId="0" applyProtection="1"/>
    <xf numFmtId="0" fontId="18" fillId="0" borderId="3" xfId="0" applyFont="1" applyFill="1" applyBorder="1" applyAlignment="1" applyProtection="1">
      <alignment wrapText="1"/>
    </xf>
    <xf numFmtId="3" fontId="7" fillId="2" borderId="3" xfId="0" applyNumberFormat="1" applyFont="1" applyFill="1" applyBorder="1" applyAlignment="1" applyProtection="1">
      <alignment horizontal="center" vertical="center" wrapText="1"/>
      <protection locked="0"/>
    </xf>
    <xf numFmtId="3" fontId="5" fillId="7" borderId="3" xfId="0" applyNumberFormat="1" applyFont="1" applyFill="1" applyBorder="1" applyAlignment="1" applyProtection="1">
      <alignment horizontal="center" wrapText="1"/>
      <protection locked="0"/>
    </xf>
    <xf numFmtId="0" fontId="7" fillId="0" borderId="3" xfId="0" applyFont="1" applyFill="1" applyBorder="1" applyAlignment="1" applyProtection="1">
      <alignment horizontal="center" vertical="center" wrapText="1"/>
    </xf>
    <xf numFmtId="0" fontId="8" fillId="0" borderId="3" xfId="0" applyFont="1" applyFill="1" applyBorder="1" applyAlignment="1" applyProtection="1">
      <alignment horizontal="center" vertical="center" wrapText="1"/>
    </xf>
    <xf numFmtId="3" fontId="8" fillId="0" borderId="3" xfId="0" applyNumberFormat="1" applyFont="1" applyFill="1" applyBorder="1" applyAlignment="1" applyProtection="1">
      <alignment horizontal="center" vertical="center" wrapText="1"/>
    </xf>
    <xf numFmtId="3" fontId="8" fillId="0" borderId="2" xfId="0" applyNumberFormat="1" applyFont="1" applyFill="1" applyBorder="1" applyAlignment="1" applyProtection="1">
      <alignment horizontal="center" vertical="center" wrapText="1"/>
    </xf>
    <xf numFmtId="3" fontId="8" fillId="0" borderId="11" xfId="0" applyNumberFormat="1" applyFont="1" applyFill="1" applyBorder="1" applyAlignment="1" applyProtection="1">
      <alignment horizontal="center" vertical="center" wrapText="1"/>
    </xf>
    <xf numFmtId="164" fontId="9" fillId="0" borderId="3" xfId="0" applyNumberFormat="1" applyFont="1" applyFill="1" applyBorder="1" applyAlignment="1" applyProtection="1">
      <alignment horizontal="center" vertical="center" wrapText="1"/>
    </xf>
    <xf numFmtId="164" fontId="10" fillId="0" borderId="3" xfId="0" applyNumberFormat="1" applyFont="1" applyFill="1" applyBorder="1" applyProtection="1"/>
    <xf numFmtId="3" fontId="8" fillId="0" borderId="4" xfId="0" applyNumberFormat="1" applyFont="1" applyFill="1" applyBorder="1" applyAlignment="1" applyProtection="1">
      <alignment horizontal="center" vertical="center" wrapText="1"/>
      <protection locked="0"/>
    </xf>
    <xf numFmtId="3" fontId="8" fillId="0" borderId="5" xfId="0" applyNumberFormat="1" applyFont="1" applyFill="1" applyBorder="1" applyAlignment="1" applyProtection="1">
      <alignment horizontal="center" vertical="center" wrapText="1"/>
      <protection locked="0"/>
    </xf>
    <xf numFmtId="3" fontId="8" fillId="0" borderId="6" xfId="0" applyNumberFormat="1" applyFont="1" applyFill="1" applyBorder="1" applyAlignment="1" applyProtection="1">
      <alignment horizontal="center" vertical="center" wrapText="1"/>
      <protection locked="0"/>
    </xf>
    <xf numFmtId="3" fontId="8" fillId="0" borderId="8" xfId="0" applyNumberFormat="1" applyFont="1" applyFill="1" applyBorder="1" applyAlignment="1" applyProtection="1">
      <alignment horizontal="center" vertical="center" wrapText="1"/>
    </xf>
    <xf numFmtId="3" fontId="8" fillId="0" borderId="9" xfId="0" applyNumberFormat="1" applyFont="1" applyFill="1" applyBorder="1" applyAlignment="1" applyProtection="1">
      <alignment horizontal="center" vertical="center" wrapText="1"/>
    </xf>
    <xf numFmtId="3" fontId="8" fillId="0" borderId="10" xfId="0" applyNumberFormat="1" applyFont="1" applyFill="1" applyBorder="1" applyAlignment="1" applyProtection="1">
      <alignment horizontal="center" vertical="center" wrapText="1"/>
    </xf>
    <xf numFmtId="3" fontId="8" fillId="0" borderId="4" xfId="0" applyNumberFormat="1" applyFont="1" applyFill="1" applyBorder="1" applyAlignment="1" applyProtection="1">
      <alignment horizontal="center" vertical="center" wrapText="1"/>
    </xf>
    <xf numFmtId="3" fontId="8" fillId="0" borderId="6" xfId="0" applyNumberFormat="1" applyFont="1" applyFill="1" applyBorder="1" applyAlignment="1" applyProtection="1">
      <alignment horizontal="center" vertical="center" wrapText="1"/>
    </xf>
    <xf numFmtId="0" fontId="4" fillId="0" borderId="1" xfId="0" applyFont="1" applyFill="1" applyBorder="1" applyAlignment="1" applyProtection="1">
      <alignment horizontal="center" vertical="top" wrapText="1"/>
      <protection locked="0"/>
    </xf>
    <xf numFmtId="0" fontId="5" fillId="0" borderId="2" xfId="0" applyNumberFormat="1" applyFont="1" applyFill="1" applyBorder="1" applyAlignment="1" applyProtection="1">
      <alignment horizontal="center" vertical="center" wrapText="1"/>
    </xf>
    <xf numFmtId="0" fontId="5" fillId="0" borderId="7" xfId="0" applyNumberFormat="1" applyFont="1" applyFill="1" applyBorder="1" applyAlignment="1" applyProtection="1">
      <alignment horizontal="center" vertical="center" wrapText="1"/>
    </xf>
    <xf numFmtId="0" fontId="5" fillId="0" borderId="11" xfId="0" applyNumberFormat="1" applyFont="1" applyFill="1" applyBorder="1" applyAlignment="1" applyProtection="1">
      <alignment horizontal="center" vertical="center" wrapText="1"/>
    </xf>
    <xf numFmtId="0" fontId="6" fillId="0" borderId="3" xfId="0" applyNumberFormat="1" applyFont="1" applyFill="1" applyBorder="1" applyAlignment="1" applyProtection="1">
      <alignment horizontal="center" vertical="center" wrapText="1"/>
    </xf>
    <xf numFmtId="0" fontId="7" fillId="0" borderId="4" xfId="0" applyFont="1" applyFill="1" applyBorder="1" applyAlignment="1" applyProtection="1">
      <alignment horizontal="center" vertical="center" wrapText="1"/>
    </xf>
    <xf numFmtId="0" fontId="7" fillId="0" borderId="5" xfId="0" applyFont="1" applyFill="1" applyBorder="1" applyAlignment="1" applyProtection="1">
      <alignment horizontal="center" vertical="center" wrapText="1"/>
    </xf>
    <xf numFmtId="0" fontId="7" fillId="0" borderId="6" xfId="0" applyFont="1" applyFill="1" applyBorder="1" applyAlignment="1" applyProtection="1">
      <alignment horizontal="center" vertical="center" wrapText="1"/>
    </xf>
    <xf numFmtId="0" fontId="7" fillId="0" borderId="3" xfId="0" applyFont="1" applyFill="1" applyBorder="1" applyAlignment="1" applyProtection="1">
      <alignment horizontal="center" vertical="center" wrapText="1"/>
      <protection locked="0"/>
    </xf>
    <xf numFmtId="0" fontId="7" fillId="0" borderId="4" xfId="0" applyFont="1" applyFill="1" applyBorder="1" applyAlignment="1" applyProtection="1">
      <alignment horizontal="center" vertical="center" wrapText="1"/>
      <protection locked="0"/>
    </xf>
    <xf numFmtId="0" fontId="7" fillId="0" borderId="5" xfId="0" applyFont="1" applyFill="1" applyBorder="1" applyAlignment="1" applyProtection="1">
      <alignment horizontal="center" vertical="center" wrapText="1"/>
      <protection locked="0"/>
    </xf>
    <xf numFmtId="0" fontId="7" fillId="0" borderId="6" xfId="0" applyFont="1" applyFill="1" applyBorder="1" applyAlignment="1" applyProtection="1">
      <alignment horizontal="center" vertical="center" wrapText="1"/>
      <protection locked="0"/>
    </xf>
  </cellXfs>
  <cellStyles count="2">
    <cellStyle name="Обычный" xfId="0" builtinId="0"/>
    <cellStyle name="Процентный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B193"/>
  <sheetViews>
    <sheetView tabSelected="1" view="pageBreakPreview" zoomScale="90" zoomScaleNormal="100" zoomScaleSheetLayoutView="90" workbookViewId="0">
      <pane xSplit="2" ySplit="6" topLeftCell="J61" activePane="bottomRight" state="frozen"/>
      <selection pane="topRight" activeCell="C1" sqref="C1"/>
      <selection pane="bottomLeft" activeCell="A7" sqref="A7"/>
      <selection pane="bottomRight" activeCell="Y66" sqref="Y66"/>
    </sheetView>
  </sheetViews>
  <sheetFormatPr defaultRowHeight="15" x14ac:dyDescent="0.25"/>
  <cols>
    <col min="1" max="1" width="4" customWidth="1"/>
    <col min="2" max="2" width="39.28515625" customWidth="1"/>
    <col min="3" max="17" width="12.42578125" customWidth="1"/>
    <col min="19" max="27" width="11" customWidth="1"/>
  </cols>
  <sheetData>
    <row r="1" spans="1:28" ht="18.75" x14ac:dyDescent="0.25">
      <c r="A1" s="1"/>
      <c r="B1" s="2"/>
      <c r="C1" s="189" t="s">
        <v>223</v>
      </c>
      <c r="D1" s="189"/>
      <c r="E1" s="189"/>
      <c r="F1" s="189"/>
      <c r="G1" s="189"/>
      <c r="H1" s="189"/>
      <c r="I1" s="189"/>
      <c r="J1" s="189"/>
      <c r="K1" s="189"/>
      <c r="L1" s="189"/>
      <c r="M1" s="189"/>
      <c r="N1" s="189"/>
      <c r="O1" s="189"/>
      <c r="P1" s="189"/>
      <c r="Q1" s="189"/>
      <c r="R1" s="189"/>
      <c r="S1" s="189"/>
      <c r="T1" s="189"/>
      <c r="U1" s="189"/>
      <c r="V1" s="189"/>
      <c r="W1" s="189"/>
      <c r="X1" s="189"/>
      <c r="Y1" s="3"/>
      <c r="Z1" s="4" t="s">
        <v>0</v>
      </c>
      <c r="AA1" s="3"/>
      <c r="AB1" s="5"/>
    </row>
    <row r="2" spans="1:28" x14ac:dyDescent="0.25">
      <c r="A2" s="190" t="s">
        <v>1</v>
      </c>
      <c r="B2" s="193" t="s">
        <v>2</v>
      </c>
      <c r="C2" s="194" t="s">
        <v>214</v>
      </c>
      <c r="D2" s="195"/>
      <c r="E2" s="195"/>
      <c r="F2" s="195"/>
      <c r="G2" s="195"/>
      <c r="H2" s="195"/>
      <c r="I2" s="195"/>
      <c r="J2" s="195"/>
      <c r="K2" s="196"/>
      <c r="L2" s="194" t="s">
        <v>211</v>
      </c>
      <c r="M2" s="195"/>
      <c r="N2" s="195"/>
      <c r="O2" s="195"/>
      <c r="P2" s="195"/>
      <c r="Q2" s="195"/>
      <c r="R2" s="195"/>
      <c r="S2" s="195"/>
      <c r="T2" s="195"/>
      <c r="U2" s="195"/>
      <c r="V2" s="195"/>
      <c r="W2" s="195"/>
      <c r="X2" s="195"/>
      <c r="Y2" s="195"/>
      <c r="Z2" s="195"/>
      <c r="AA2" s="195"/>
      <c r="AB2" s="196"/>
    </row>
    <row r="3" spans="1:28" ht="24" customHeight="1" x14ac:dyDescent="0.25">
      <c r="A3" s="191"/>
      <c r="B3" s="193"/>
      <c r="C3" s="174" t="s">
        <v>3</v>
      </c>
      <c r="D3" s="174"/>
      <c r="E3" s="174"/>
      <c r="F3" s="197" t="s">
        <v>224</v>
      </c>
      <c r="G3" s="197"/>
      <c r="H3" s="197"/>
      <c r="I3" s="198" t="s">
        <v>225</v>
      </c>
      <c r="J3" s="199"/>
      <c r="K3" s="200"/>
      <c r="L3" s="176" t="s">
        <v>4</v>
      </c>
      <c r="M3" s="176"/>
      <c r="N3" s="176"/>
      <c r="O3" s="176" t="s">
        <v>5</v>
      </c>
      <c r="P3" s="176"/>
      <c r="Q3" s="176"/>
      <c r="R3" s="179" t="s">
        <v>221</v>
      </c>
      <c r="S3" s="181" t="s">
        <v>226</v>
      </c>
      <c r="T3" s="182"/>
      <c r="U3" s="183"/>
      <c r="V3" s="181" t="s">
        <v>227</v>
      </c>
      <c r="W3" s="182"/>
      <c r="X3" s="183"/>
      <c r="Y3" s="184" t="s">
        <v>212</v>
      </c>
      <c r="Z3" s="185"/>
      <c r="AA3" s="186"/>
      <c r="AB3" s="179" t="s">
        <v>215</v>
      </c>
    </row>
    <row r="4" spans="1:28" x14ac:dyDescent="0.25">
      <c r="A4" s="191"/>
      <c r="B4" s="193"/>
      <c r="C4" s="174" t="s">
        <v>6</v>
      </c>
      <c r="D4" s="174" t="s">
        <v>7</v>
      </c>
      <c r="E4" s="174"/>
      <c r="F4" s="174" t="s">
        <v>6</v>
      </c>
      <c r="G4" s="174" t="s">
        <v>8</v>
      </c>
      <c r="H4" s="174"/>
      <c r="I4" s="174" t="s">
        <v>6</v>
      </c>
      <c r="J4" s="174" t="s">
        <v>8</v>
      </c>
      <c r="K4" s="174"/>
      <c r="L4" s="175" t="s">
        <v>6</v>
      </c>
      <c r="M4" s="176" t="s">
        <v>7</v>
      </c>
      <c r="N4" s="176"/>
      <c r="O4" s="175" t="s">
        <v>6</v>
      </c>
      <c r="P4" s="176" t="s">
        <v>7</v>
      </c>
      <c r="Q4" s="176"/>
      <c r="R4" s="180"/>
      <c r="S4" s="177" t="s">
        <v>6</v>
      </c>
      <c r="T4" s="187" t="s">
        <v>8</v>
      </c>
      <c r="U4" s="188"/>
      <c r="V4" s="177" t="s">
        <v>6</v>
      </c>
      <c r="W4" s="187" t="s">
        <v>8</v>
      </c>
      <c r="X4" s="188"/>
      <c r="Y4" s="177" t="s">
        <v>6</v>
      </c>
      <c r="Z4" s="187" t="s">
        <v>8</v>
      </c>
      <c r="AA4" s="188"/>
      <c r="AB4" s="179"/>
    </row>
    <row r="5" spans="1:28" ht="38.25" x14ac:dyDescent="0.25">
      <c r="A5" s="192"/>
      <c r="B5" s="193"/>
      <c r="C5" s="174"/>
      <c r="D5" s="6" t="s">
        <v>209</v>
      </c>
      <c r="E5" s="7" t="s">
        <v>9</v>
      </c>
      <c r="F5" s="174"/>
      <c r="G5" s="6" t="s">
        <v>209</v>
      </c>
      <c r="H5" s="8" t="s">
        <v>9</v>
      </c>
      <c r="I5" s="174"/>
      <c r="J5" s="6" t="s">
        <v>209</v>
      </c>
      <c r="K5" s="8" t="s">
        <v>9</v>
      </c>
      <c r="L5" s="175"/>
      <c r="M5" s="9" t="s">
        <v>209</v>
      </c>
      <c r="N5" s="10" t="s">
        <v>9</v>
      </c>
      <c r="O5" s="175"/>
      <c r="P5" s="9" t="s">
        <v>209</v>
      </c>
      <c r="Q5" s="10" t="s">
        <v>9</v>
      </c>
      <c r="R5" s="180"/>
      <c r="S5" s="178"/>
      <c r="T5" s="9" t="s">
        <v>209</v>
      </c>
      <c r="U5" s="10" t="s">
        <v>10</v>
      </c>
      <c r="V5" s="178"/>
      <c r="W5" s="9" t="s">
        <v>209</v>
      </c>
      <c r="X5" s="10" t="s">
        <v>10</v>
      </c>
      <c r="Y5" s="178"/>
      <c r="Z5" s="9" t="s">
        <v>209</v>
      </c>
      <c r="AA5" s="10" t="s">
        <v>10</v>
      </c>
      <c r="AB5" s="179"/>
    </row>
    <row r="6" spans="1:28" x14ac:dyDescent="0.25">
      <c r="A6" s="11" t="s">
        <v>11</v>
      </c>
      <c r="B6" s="12" t="s">
        <v>12</v>
      </c>
      <c r="C6" s="13">
        <f>C7+C37</f>
        <v>3373105.6049599997</v>
      </c>
      <c r="D6" s="13">
        <f>D7+D37</f>
        <v>1954556.6343900003</v>
      </c>
      <c r="E6" s="13">
        <f>C6-D6</f>
        <v>1418548.9705699994</v>
      </c>
      <c r="F6" s="13">
        <f>F7+F37</f>
        <v>428672.31469000003</v>
      </c>
      <c r="G6" s="13">
        <f>G7+G37</f>
        <v>212339.84380999999</v>
      </c>
      <c r="H6" s="13">
        <f>F6-G6</f>
        <v>216332.47088000004</v>
      </c>
      <c r="I6" s="13">
        <f>I7+I37</f>
        <v>207240.24080999999</v>
      </c>
      <c r="J6" s="13">
        <f>J7+J37</f>
        <v>101574.55639000001</v>
      </c>
      <c r="K6" s="13">
        <f>I6-J6</f>
        <v>105665.68441999998</v>
      </c>
      <c r="L6" s="13">
        <f>L7+L37</f>
        <v>3048860.58164</v>
      </c>
      <c r="M6" s="13">
        <f>M7+M37</f>
        <v>1741913.41864</v>
      </c>
      <c r="N6" s="13">
        <f>L6-M6</f>
        <v>1306947.1629999999</v>
      </c>
      <c r="O6" s="13">
        <f>O7+O37</f>
        <v>3048860.58164</v>
      </c>
      <c r="P6" s="13">
        <f>P7+P37</f>
        <v>1741913.41864</v>
      </c>
      <c r="Q6" s="13">
        <f>O6-P6</f>
        <v>1306947.1629999999</v>
      </c>
      <c r="R6" s="14">
        <f>Q6/E6</f>
        <v>0.92132678540864488</v>
      </c>
      <c r="S6" s="13">
        <f>S7+S37</f>
        <v>577996.04765999992</v>
      </c>
      <c r="T6" s="13">
        <f>T7+T37</f>
        <v>333204.14682999993</v>
      </c>
      <c r="U6" s="13">
        <f>S6-T6</f>
        <v>244791.90083</v>
      </c>
      <c r="V6" s="13">
        <f>V7+V37</f>
        <v>135901.70140000002</v>
      </c>
      <c r="W6" s="13">
        <f>W7+W37</f>
        <v>131482.20000000001</v>
      </c>
      <c r="X6" s="13">
        <f>V6-W6</f>
        <v>4419.5014000000083</v>
      </c>
      <c r="Y6" s="13">
        <f>Y7+Y37</f>
        <v>3404277.1934899995</v>
      </c>
      <c r="Z6" s="13">
        <f>Z7+Z37</f>
        <v>2096086.1304899999</v>
      </c>
      <c r="AA6" s="13">
        <f>Y6-Z6</f>
        <v>1308191.0629999996</v>
      </c>
      <c r="AB6" s="14">
        <f>AA6/E6</f>
        <v>0.92220366736746784</v>
      </c>
    </row>
    <row r="7" spans="1:28" x14ac:dyDescent="0.25">
      <c r="A7" s="15" t="s">
        <v>13</v>
      </c>
      <c r="B7" s="16" t="s">
        <v>14</v>
      </c>
      <c r="C7" s="17">
        <f>C8+C21</f>
        <v>1074441.8439099998</v>
      </c>
      <c r="D7" s="17">
        <f>D8+D21</f>
        <v>1873.90669</v>
      </c>
      <c r="E7" s="18">
        <f t="shared" ref="E7:E99" si="0">C7-D7</f>
        <v>1072567.9372199997</v>
      </c>
      <c r="F7" s="17">
        <f>F8+F21</f>
        <v>215683.99720000001</v>
      </c>
      <c r="G7" s="17">
        <f>G8+G21</f>
        <v>31.416799999999999</v>
      </c>
      <c r="H7" s="18">
        <f t="shared" ref="H7:H49" si="1">F7-G7</f>
        <v>215652.58040000001</v>
      </c>
      <c r="I7" s="17">
        <f>I8+I21</f>
        <v>92118.88731999998</v>
      </c>
      <c r="J7" s="17">
        <f>J8+J21</f>
        <v>10.036349999999999</v>
      </c>
      <c r="K7" s="18">
        <f t="shared" ref="K7:K49" si="2">I7-J7</f>
        <v>92108.850969999985</v>
      </c>
      <c r="L7" s="17">
        <f>L8+L21</f>
        <v>983157.78899999987</v>
      </c>
      <c r="M7" s="17">
        <f>M8+M21</f>
        <v>0</v>
      </c>
      <c r="N7" s="18">
        <f t="shared" ref="N7:N49" si="3">L7-M7</f>
        <v>983157.78899999987</v>
      </c>
      <c r="O7" s="17">
        <f>O8+O21</f>
        <v>983157.78899999987</v>
      </c>
      <c r="P7" s="17">
        <f>P8+P21</f>
        <v>0</v>
      </c>
      <c r="Q7" s="18">
        <f t="shared" ref="Q7:Q49" si="4">O7-P7</f>
        <v>983157.78899999987</v>
      </c>
      <c r="R7" s="19">
        <f>Q7/E7</f>
        <v>0.91663917490229763</v>
      </c>
      <c r="S7" s="17">
        <f>S8+S21</f>
        <v>193775.67757999999</v>
      </c>
      <c r="T7" s="17">
        <f>T8+T21</f>
        <v>231.42966999999999</v>
      </c>
      <c r="U7" s="18">
        <f t="shared" ref="U7:U49" si="5">S7-T7</f>
        <v>193544.24790999998</v>
      </c>
      <c r="V7" s="17">
        <f>V8+V21</f>
        <v>4419.5014000000001</v>
      </c>
      <c r="W7" s="17">
        <f>W8+W21</f>
        <v>0</v>
      </c>
      <c r="X7" s="18">
        <f t="shared" ref="X7:X49" si="6">V7-W7</f>
        <v>4419.5014000000001</v>
      </c>
      <c r="Y7" s="17">
        <f>Y8+Y21</f>
        <v>983392.78899999987</v>
      </c>
      <c r="Z7" s="17">
        <f>Z8+Z21</f>
        <v>235</v>
      </c>
      <c r="AA7" s="18">
        <f t="shared" ref="AA7:AA49" si="7">Y7-Z7</f>
        <v>983157.78899999987</v>
      </c>
      <c r="AB7" s="19">
        <f t="shared" ref="AB7:AB99" si="8">AA7/E7</f>
        <v>0.91663917490229763</v>
      </c>
    </row>
    <row r="8" spans="1:28" ht="19.5" x14ac:dyDescent="0.25">
      <c r="A8" s="20" t="s">
        <v>15</v>
      </c>
      <c r="B8" s="21" t="s">
        <v>16</v>
      </c>
      <c r="C8" s="22">
        <f>C10+C11+C12+C17+C18+C19+C20</f>
        <v>851658.61907999986</v>
      </c>
      <c r="D8" s="22"/>
      <c r="E8" s="18">
        <f t="shared" si="0"/>
        <v>851658.61907999986</v>
      </c>
      <c r="F8" s="22">
        <f>F10+F11+F12+F17+F18+F19+F20</f>
        <v>156089.37609000001</v>
      </c>
      <c r="G8" s="22"/>
      <c r="H8" s="18">
        <f t="shared" si="1"/>
        <v>156089.37609000001</v>
      </c>
      <c r="I8" s="22">
        <f>I10+I11+I12+I17+I18+I19+I20</f>
        <v>81857.165199999989</v>
      </c>
      <c r="J8" s="22"/>
      <c r="K8" s="18">
        <f t="shared" si="2"/>
        <v>81857.165199999989</v>
      </c>
      <c r="L8" s="22">
        <f>L10+L11+L12+L17+L18+L19+L20</f>
        <v>811598.54999999993</v>
      </c>
      <c r="M8" s="22"/>
      <c r="N8" s="18">
        <f t="shared" si="3"/>
        <v>811598.54999999993</v>
      </c>
      <c r="O8" s="22">
        <f>O10+O11+O12+O17+O18+O19+O20</f>
        <v>811598.54999999993</v>
      </c>
      <c r="P8" s="22"/>
      <c r="Q8" s="18">
        <f t="shared" si="4"/>
        <v>811598.54999999993</v>
      </c>
      <c r="R8" s="23">
        <f t="shared" ref="R8:R50" si="9">Q8/E8</f>
        <v>0.95296229242266739</v>
      </c>
      <c r="S8" s="29">
        <f>S10+S11+S12+S17+S18+S19+S20</f>
        <v>144060.12925</v>
      </c>
      <c r="T8" s="22"/>
      <c r="U8" s="18">
        <f t="shared" si="5"/>
        <v>144060.12925</v>
      </c>
      <c r="V8" s="22">
        <f>V10+V11+V12+V17+V18+V19+V20</f>
        <v>1422.87</v>
      </c>
      <c r="W8" s="22"/>
      <c r="X8" s="18">
        <f t="shared" si="6"/>
        <v>1422.87</v>
      </c>
      <c r="Y8" s="22">
        <f>Y10+Y11+Y12+Y17+Y18+Y19+Y20</f>
        <v>811598.54999999993</v>
      </c>
      <c r="Z8" s="22"/>
      <c r="AA8" s="18">
        <f t="shared" si="7"/>
        <v>811598.54999999993</v>
      </c>
      <c r="AB8" s="23">
        <f t="shared" si="8"/>
        <v>0.95296229242266739</v>
      </c>
    </row>
    <row r="9" spans="1:28" x14ac:dyDescent="0.25">
      <c r="A9" s="24"/>
      <c r="B9" s="25" t="s">
        <v>17</v>
      </c>
      <c r="C9" s="26"/>
      <c r="D9" s="26"/>
      <c r="E9" s="18"/>
      <c r="F9" s="26"/>
      <c r="G9" s="26"/>
      <c r="H9" s="18"/>
      <c r="I9" s="26"/>
      <c r="J9" s="26"/>
      <c r="K9" s="18"/>
      <c r="L9" s="26"/>
      <c r="M9" s="26"/>
      <c r="N9" s="18"/>
      <c r="O9" s="26"/>
      <c r="P9" s="26"/>
      <c r="Q9" s="18"/>
      <c r="R9" s="19"/>
      <c r="S9" s="26"/>
      <c r="T9" s="26"/>
      <c r="U9" s="18"/>
      <c r="V9" s="26"/>
      <c r="W9" s="26"/>
      <c r="X9" s="18"/>
      <c r="Y9" s="26"/>
      <c r="Z9" s="26"/>
      <c r="AA9" s="18"/>
      <c r="AB9" s="19"/>
    </row>
    <row r="10" spans="1:28" x14ac:dyDescent="0.25">
      <c r="A10" s="24" t="s">
        <v>18</v>
      </c>
      <c r="B10" s="25" t="s">
        <v>19</v>
      </c>
      <c r="C10" s="26">
        <v>692706.45360999997</v>
      </c>
      <c r="D10" s="26"/>
      <c r="E10" s="18">
        <f t="shared" si="0"/>
        <v>692706.45360999997</v>
      </c>
      <c r="F10" s="26">
        <v>135190.22732000001</v>
      </c>
      <c r="G10" s="26"/>
      <c r="H10" s="18">
        <f t="shared" si="1"/>
        <v>135190.22732000001</v>
      </c>
      <c r="I10" s="26">
        <f>194702.0617-F10</f>
        <v>59511.834379999986</v>
      </c>
      <c r="J10" s="26"/>
      <c r="K10" s="18">
        <f t="shared" si="2"/>
        <v>59511.834379999986</v>
      </c>
      <c r="L10" s="26">
        <v>675049.9</v>
      </c>
      <c r="M10" s="26"/>
      <c r="N10" s="18">
        <f t="shared" si="3"/>
        <v>675049.9</v>
      </c>
      <c r="O10" s="26">
        <f>L10</f>
        <v>675049.9</v>
      </c>
      <c r="P10" s="26"/>
      <c r="Q10" s="18">
        <f t="shared" si="4"/>
        <v>675049.9</v>
      </c>
      <c r="R10" s="19">
        <f>Q10/E10</f>
        <v>0.97451077073414893</v>
      </c>
      <c r="S10" s="26">
        <v>130924.02498</v>
      </c>
      <c r="T10" s="26"/>
      <c r="U10" s="18">
        <f t="shared" si="5"/>
        <v>130924.02498</v>
      </c>
      <c r="V10" s="26">
        <v>240</v>
      </c>
      <c r="W10" s="26"/>
      <c r="X10" s="18">
        <f t="shared" si="6"/>
        <v>240</v>
      </c>
      <c r="Y10" s="26">
        <v>675049.9</v>
      </c>
      <c r="Z10" s="26"/>
      <c r="AA10" s="18">
        <f t="shared" si="7"/>
        <v>675049.9</v>
      </c>
      <c r="AB10" s="19">
        <f t="shared" si="8"/>
        <v>0.97451077073414893</v>
      </c>
    </row>
    <row r="11" spans="1:28" x14ac:dyDescent="0.25">
      <c r="A11" s="24" t="s">
        <v>20</v>
      </c>
      <c r="B11" s="25" t="s">
        <v>21</v>
      </c>
      <c r="C11" s="26">
        <v>15967.49015</v>
      </c>
      <c r="D11" s="26"/>
      <c r="E11" s="18">
        <f t="shared" si="0"/>
        <v>15967.49015</v>
      </c>
      <c r="F11" s="26">
        <v>3568.67551</v>
      </c>
      <c r="G11" s="26"/>
      <c r="H11" s="18">
        <f t="shared" si="1"/>
        <v>3568.67551</v>
      </c>
      <c r="I11" s="26">
        <f>4480.66507-F11</f>
        <v>911.98955999999998</v>
      </c>
      <c r="J11" s="26"/>
      <c r="K11" s="18">
        <f t="shared" si="2"/>
        <v>911.98955999999998</v>
      </c>
      <c r="L11" s="26">
        <v>14418.9</v>
      </c>
      <c r="M11" s="26"/>
      <c r="N11" s="18">
        <f t="shared" si="3"/>
        <v>14418.9</v>
      </c>
      <c r="O11" s="26">
        <f>L11</f>
        <v>14418.9</v>
      </c>
      <c r="P11" s="26"/>
      <c r="Q11" s="18">
        <f t="shared" si="4"/>
        <v>14418.9</v>
      </c>
      <c r="R11" s="19"/>
      <c r="S11" s="26">
        <v>3788.7934300000002</v>
      </c>
      <c r="T11" s="26"/>
      <c r="U11" s="18">
        <f t="shared" si="5"/>
        <v>3788.7934300000002</v>
      </c>
      <c r="V11" s="26"/>
      <c r="W11" s="26"/>
      <c r="X11" s="18">
        <f t="shared" si="6"/>
        <v>0</v>
      </c>
      <c r="Y11" s="26">
        <v>14418.9</v>
      </c>
      <c r="Z11" s="26"/>
      <c r="AA11" s="18">
        <f t="shared" si="7"/>
        <v>14418.9</v>
      </c>
      <c r="AB11" s="19"/>
    </row>
    <row r="12" spans="1:28" x14ac:dyDescent="0.25">
      <c r="A12" s="24" t="s">
        <v>22</v>
      </c>
      <c r="B12" s="25" t="s">
        <v>23</v>
      </c>
      <c r="C12" s="27">
        <f>SUM(C13:C16)</f>
        <v>118522.77938000001</v>
      </c>
      <c r="D12" s="27">
        <f>SUM(D13:D16)</f>
        <v>0</v>
      </c>
      <c r="E12" s="18">
        <f>C12-D12</f>
        <v>118522.77938000001</v>
      </c>
      <c r="F12" s="27">
        <f>SUM(F13:F16)</f>
        <v>14573.53816</v>
      </c>
      <c r="G12" s="27">
        <f>SUM(G13:G16)</f>
        <v>0</v>
      </c>
      <c r="H12" s="18">
        <f t="shared" si="1"/>
        <v>14573.53816</v>
      </c>
      <c r="I12" s="27">
        <f>SUM(I13:I16)</f>
        <v>20250.695980000004</v>
      </c>
      <c r="J12" s="27">
        <f>SUM(J13:J16)</f>
        <v>0</v>
      </c>
      <c r="K12" s="18">
        <f>I12-J12</f>
        <v>20250.695980000004</v>
      </c>
      <c r="L12" s="27">
        <f>SUM(L13:L16)</f>
        <v>103030.83</v>
      </c>
      <c r="M12" s="27">
        <f>SUM(M13:M16)</f>
        <v>0</v>
      </c>
      <c r="N12" s="18">
        <f t="shared" si="3"/>
        <v>103030.83</v>
      </c>
      <c r="O12" s="27">
        <f>SUM(O13:O16)</f>
        <v>103030.83</v>
      </c>
      <c r="P12" s="27">
        <f>SUM(P13:P16)</f>
        <v>0</v>
      </c>
      <c r="Q12" s="18">
        <f t="shared" si="4"/>
        <v>103030.83</v>
      </c>
      <c r="R12" s="19">
        <f t="shared" si="9"/>
        <v>0.86929137621443442</v>
      </c>
      <c r="S12" s="27">
        <f>SUM(S13:S16)</f>
        <v>6663.08565</v>
      </c>
      <c r="T12" s="27">
        <f>SUM(T13:T16)</f>
        <v>0</v>
      </c>
      <c r="U12" s="18">
        <f t="shared" si="5"/>
        <v>6663.08565</v>
      </c>
      <c r="V12" s="27">
        <f>SUM(V13:V16)</f>
        <v>401.09999999999997</v>
      </c>
      <c r="W12" s="27">
        <f>SUM(W13:W16)</f>
        <v>0</v>
      </c>
      <c r="X12" s="18">
        <f t="shared" si="6"/>
        <v>401.09999999999997</v>
      </c>
      <c r="Y12" s="27">
        <f>SUM(Y13:Y16)</f>
        <v>103030.83</v>
      </c>
      <c r="Z12" s="27">
        <f>SUM(Z13:Z16)</f>
        <v>0</v>
      </c>
      <c r="AA12" s="18">
        <f t="shared" si="7"/>
        <v>103030.83</v>
      </c>
      <c r="AB12" s="19">
        <f t="shared" si="8"/>
        <v>0.86929137621443442</v>
      </c>
    </row>
    <row r="13" spans="1:28" ht="26.25" x14ac:dyDescent="0.25">
      <c r="A13" s="24"/>
      <c r="B13" s="25" t="s">
        <v>24</v>
      </c>
      <c r="C13" s="26">
        <v>116993.46502</v>
      </c>
      <c r="D13" s="26"/>
      <c r="E13" s="28">
        <f t="shared" si="0"/>
        <v>116993.46502</v>
      </c>
      <c r="F13" s="26">
        <v>13939.643980000001</v>
      </c>
      <c r="G13" s="26"/>
      <c r="H13" s="28">
        <f t="shared" si="1"/>
        <v>13939.643980000001</v>
      </c>
      <c r="I13" s="26">
        <f>34079.87621-F13</f>
        <v>20140.232230000001</v>
      </c>
      <c r="J13" s="26"/>
      <c r="K13" s="18">
        <f>I13-J13</f>
        <v>20140.232230000001</v>
      </c>
      <c r="L13" s="26">
        <v>101251.2</v>
      </c>
      <c r="M13" s="26"/>
      <c r="N13" s="28">
        <f t="shared" si="3"/>
        <v>101251.2</v>
      </c>
      <c r="O13" s="26">
        <f>L13</f>
        <v>101251.2</v>
      </c>
      <c r="P13" s="26"/>
      <c r="Q13" s="28">
        <f t="shared" si="4"/>
        <v>101251.2</v>
      </c>
      <c r="R13" s="19">
        <f t="shared" si="9"/>
        <v>0.86544321071857411</v>
      </c>
      <c r="S13" s="26">
        <v>7383.0537100000001</v>
      </c>
      <c r="T13" s="26"/>
      <c r="U13" s="28">
        <f t="shared" si="5"/>
        <v>7383.0537100000001</v>
      </c>
      <c r="V13" s="26">
        <v>394.71</v>
      </c>
      <c r="W13" s="26"/>
      <c r="X13" s="28">
        <f t="shared" si="6"/>
        <v>394.71</v>
      </c>
      <c r="Y13" s="26">
        <v>101251.2</v>
      </c>
      <c r="Z13" s="26"/>
      <c r="AA13" s="28">
        <f t="shared" si="7"/>
        <v>101251.2</v>
      </c>
      <c r="AB13" s="19">
        <f t="shared" si="8"/>
        <v>0.86544321071857411</v>
      </c>
    </row>
    <row r="14" spans="1:28" ht="26.25" x14ac:dyDescent="0.25">
      <c r="A14" s="24"/>
      <c r="B14" s="25" t="s">
        <v>25</v>
      </c>
      <c r="C14" s="26">
        <v>13.042920000000001</v>
      </c>
      <c r="D14" s="26"/>
      <c r="E14" s="28">
        <f t="shared" si="0"/>
        <v>13.042920000000001</v>
      </c>
      <c r="F14" s="26">
        <v>42.637129999999999</v>
      </c>
      <c r="G14" s="26"/>
      <c r="H14" s="28">
        <f t="shared" si="1"/>
        <v>42.637129999999999</v>
      </c>
      <c r="I14" s="26">
        <f>56.88089-F14</f>
        <v>14.243760000000002</v>
      </c>
      <c r="J14" s="26"/>
      <c r="K14" s="18">
        <f>I14-J14</f>
        <v>14.243760000000002</v>
      </c>
      <c r="L14" s="26">
        <v>60</v>
      </c>
      <c r="M14" s="26"/>
      <c r="N14" s="28">
        <f t="shared" si="3"/>
        <v>60</v>
      </c>
      <c r="O14" s="26">
        <f>L14</f>
        <v>60</v>
      </c>
      <c r="P14" s="26"/>
      <c r="Q14" s="28">
        <f t="shared" si="4"/>
        <v>60</v>
      </c>
      <c r="R14" s="19">
        <f t="shared" si="9"/>
        <v>4.6001968884268241</v>
      </c>
      <c r="S14" s="26">
        <v>-477.88247999999999</v>
      </c>
      <c r="T14" s="26"/>
      <c r="U14" s="28">
        <f t="shared" si="5"/>
        <v>-477.88247999999999</v>
      </c>
      <c r="V14" s="26">
        <v>6.39</v>
      </c>
      <c r="W14" s="26"/>
      <c r="X14" s="28">
        <f t="shared" si="6"/>
        <v>6.39</v>
      </c>
      <c r="Y14" s="26">
        <v>60</v>
      </c>
      <c r="Z14" s="26"/>
      <c r="AA14" s="28">
        <f t="shared" si="7"/>
        <v>60</v>
      </c>
      <c r="AB14" s="19">
        <f t="shared" si="8"/>
        <v>4.6001968884268241</v>
      </c>
    </row>
    <row r="15" spans="1:28" x14ac:dyDescent="0.25">
      <c r="A15" s="24"/>
      <c r="B15" s="25" t="s">
        <v>26</v>
      </c>
      <c r="C15" s="26"/>
      <c r="D15" s="26"/>
      <c r="E15" s="28">
        <f t="shared" si="0"/>
        <v>0</v>
      </c>
      <c r="F15" s="26"/>
      <c r="G15" s="26"/>
      <c r="H15" s="28">
        <f t="shared" si="1"/>
        <v>0</v>
      </c>
      <c r="I15" s="26"/>
      <c r="J15" s="26"/>
      <c r="K15" s="18">
        <f>I15-J15</f>
        <v>0</v>
      </c>
      <c r="L15" s="26"/>
      <c r="M15" s="26"/>
      <c r="N15" s="28">
        <f t="shared" si="3"/>
        <v>0</v>
      </c>
      <c r="O15" s="26"/>
      <c r="P15" s="26"/>
      <c r="Q15" s="28">
        <f t="shared" si="4"/>
        <v>0</v>
      </c>
      <c r="R15" s="19" t="e">
        <f t="shared" si="9"/>
        <v>#DIV/0!</v>
      </c>
      <c r="S15" s="26"/>
      <c r="T15" s="26"/>
      <c r="U15" s="28">
        <f t="shared" si="5"/>
        <v>0</v>
      </c>
      <c r="V15" s="26">
        <v>0</v>
      </c>
      <c r="W15" s="26"/>
      <c r="X15" s="28">
        <f t="shared" si="6"/>
        <v>0</v>
      </c>
      <c r="Y15" s="26"/>
      <c r="Z15" s="26"/>
      <c r="AA15" s="28">
        <f t="shared" si="7"/>
        <v>0</v>
      </c>
      <c r="AB15" s="19" t="e">
        <f t="shared" si="8"/>
        <v>#DIV/0!</v>
      </c>
    </row>
    <row r="16" spans="1:28" x14ac:dyDescent="0.25">
      <c r="A16" s="24"/>
      <c r="B16" s="25" t="s">
        <v>27</v>
      </c>
      <c r="C16" s="26">
        <v>1516.27144</v>
      </c>
      <c r="D16" s="26"/>
      <c r="E16" s="28">
        <f t="shared" si="0"/>
        <v>1516.27144</v>
      </c>
      <c r="F16" s="26">
        <v>591.25705000000005</v>
      </c>
      <c r="G16" s="26"/>
      <c r="H16" s="28">
        <f t="shared" si="1"/>
        <v>591.25705000000005</v>
      </c>
      <c r="I16" s="26">
        <f>687.47704-F16</f>
        <v>96.219989999999939</v>
      </c>
      <c r="J16" s="26"/>
      <c r="K16" s="18">
        <f>I16-J16</f>
        <v>96.219989999999939</v>
      </c>
      <c r="L16" s="26">
        <v>1719.63</v>
      </c>
      <c r="M16" s="26"/>
      <c r="N16" s="28">
        <f t="shared" si="3"/>
        <v>1719.63</v>
      </c>
      <c r="O16" s="26">
        <f>L16</f>
        <v>1719.63</v>
      </c>
      <c r="P16" s="26"/>
      <c r="Q16" s="28">
        <f t="shared" si="4"/>
        <v>1719.63</v>
      </c>
      <c r="R16" s="19">
        <f t="shared" si="9"/>
        <v>1.1341175165839701</v>
      </c>
      <c r="S16" s="26">
        <v>-242.08557999999999</v>
      </c>
      <c r="T16" s="26"/>
      <c r="U16" s="28">
        <f t="shared" si="5"/>
        <v>-242.08557999999999</v>
      </c>
      <c r="V16" s="26">
        <v>0</v>
      </c>
      <c r="W16" s="26"/>
      <c r="X16" s="28">
        <f t="shared" si="6"/>
        <v>0</v>
      </c>
      <c r="Y16" s="26">
        <v>1719.63</v>
      </c>
      <c r="Z16" s="26"/>
      <c r="AA16" s="28">
        <f t="shared" si="7"/>
        <v>1719.63</v>
      </c>
      <c r="AB16" s="19">
        <f t="shared" si="8"/>
        <v>1.1341175165839701</v>
      </c>
    </row>
    <row r="17" spans="1:28" x14ac:dyDescent="0.25">
      <c r="A17" s="24" t="s">
        <v>28</v>
      </c>
      <c r="B17" s="25" t="s">
        <v>29</v>
      </c>
      <c r="C17" s="26">
        <v>9326.9205399999992</v>
      </c>
      <c r="D17" s="26"/>
      <c r="E17" s="18">
        <f t="shared" si="0"/>
        <v>9326.9205399999992</v>
      </c>
      <c r="F17" s="26">
        <v>541.09351000000004</v>
      </c>
      <c r="G17" s="26"/>
      <c r="H17" s="18">
        <f t="shared" si="1"/>
        <v>541.09351000000004</v>
      </c>
      <c r="I17" s="26">
        <f>681.08292-F17</f>
        <v>139.98940999999991</v>
      </c>
      <c r="J17" s="26"/>
      <c r="K17" s="18">
        <f t="shared" si="2"/>
        <v>139.98940999999991</v>
      </c>
      <c r="L17" s="26">
        <v>8671.2199999999993</v>
      </c>
      <c r="M17" s="26"/>
      <c r="N17" s="18">
        <f t="shared" si="3"/>
        <v>8671.2199999999993</v>
      </c>
      <c r="O17" s="26">
        <f>L17</f>
        <v>8671.2199999999993</v>
      </c>
      <c r="P17" s="26"/>
      <c r="Q17" s="18">
        <f>O17-P17</f>
        <v>8671.2199999999993</v>
      </c>
      <c r="R17" s="19">
        <f t="shared" si="9"/>
        <v>0.92969806731086402</v>
      </c>
      <c r="S17" s="26">
        <v>823.37148999999999</v>
      </c>
      <c r="T17" s="26"/>
      <c r="U17" s="18">
        <f t="shared" si="5"/>
        <v>823.37148999999999</v>
      </c>
      <c r="V17" s="26">
        <v>11.37</v>
      </c>
      <c r="W17" s="26"/>
      <c r="X17" s="18">
        <f t="shared" si="6"/>
        <v>11.37</v>
      </c>
      <c r="Y17" s="26">
        <v>8671.2199999999993</v>
      </c>
      <c r="Z17" s="26"/>
      <c r="AA17" s="18">
        <f t="shared" si="7"/>
        <v>8671.2199999999993</v>
      </c>
      <c r="AB17" s="19">
        <f>AA17/E17</f>
        <v>0.92969806731086402</v>
      </c>
    </row>
    <row r="18" spans="1:28" x14ac:dyDescent="0.25">
      <c r="A18" s="24" t="s">
        <v>30</v>
      </c>
      <c r="B18" s="25" t="s">
        <v>31</v>
      </c>
      <c r="C18" s="26">
        <v>5294.6281399999998</v>
      </c>
      <c r="D18" s="26"/>
      <c r="E18" s="18">
        <f t="shared" si="0"/>
        <v>5294.6281399999998</v>
      </c>
      <c r="F18" s="26">
        <v>514.41052999999999</v>
      </c>
      <c r="G18" s="26"/>
      <c r="H18" s="18">
        <f t="shared" si="1"/>
        <v>514.41052999999999</v>
      </c>
      <c r="I18" s="26">
        <f>778.36867-F18</f>
        <v>263.95813999999996</v>
      </c>
      <c r="J18" s="26"/>
      <c r="K18" s="18">
        <f t="shared" si="2"/>
        <v>263.95813999999996</v>
      </c>
      <c r="L18" s="26">
        <v>2921</v>
      </c>
      <c r="M18" s="26"/>
      <c r="N18" s="18">
        <f t="shared" si="3"/>
        <v>2921</v>
      </c>
      <c r="O18" s="26">
        <f>L18</f>
        <v>2921</v>
      </c>
      <c r="P18" s="26"/>
      <c r="Q18" s="18">
        <f t="shared" si="4"/>
        <v>2921</v>
      </c>
      <c r="R18" s="19">
        <f t="shared" si="9"/>
        <v>0.55169124681908255</v>
      </c>
      <c r="S18" s="26">
        <v>295.37580000000003</v>
      </c>
      <c r="T18" s="26"/>
      <c r="U18" s="18">
        <f t="shared" si="5"/>
        <v>295.37580000000003</v>
      </c>
      <c r="V18" s="26">
        <v>70.400000000000006</v>
      </c>
      <c r="W18" s="26"/>
      <c r="X18" s="18">
        <f t="shared" si="6"/>
        <v>70.400000000000006</v>
      </c>
      <c r="Y18" s="26">
        <v>2921</v>
      </c>
      <c r="Z18" s="26"/>
      <c r="AA18" s="18">
        <f t="shared" si="7"/>
        <v>2921</v>
      </c>
      <c r="AB18" s="19">
        <f t="shared" si="8"/>
        <v>0.55169124681908255</v>
      </c>
    </row>
    <row r="19" spans="1:28" x14ac:dyDescent="0.25">
      <c r="A19" s="24" t="s">
        <v>32</v>
      </c>
      <c r="B19" s="25" t="s">
        <v>33</v>
      </c>
      <c r="C19" s="26">
        <v>9840.3472600000005</v>
      </c>
      <c r="D19" s="26"/>
      <c r="E19" s="18">
        <f t="shared" si="0"/>
        <v>9840.3472600000005</v>
      </c>
      <c r="F19" s="26">
        <v>1701.4310599999999</v>
      </c>
      <c r="G19" s="26"/>
      <c r="H19" s="18">
        <f t="shared" si="1"/>
        <v>1701.4310599999999</v>
      </c>
      <c r="I19" s="26">
        <f>2480.12879-F19</f>
        <v>778.69773000000032</v>
      </c>
      <c r="J19" s="26"/>
      <c r="K19" s="18">
        <f t="shared" si="2"/>
        <v>778.69773000000032</v>
      </c>
      <c r="L19" s="26">
        <v>7506.7</v>
      </c>
      <c r="M19" s="26"/>
      <c r="N19" s="18">
        <f t="shared" si="3"/>
        <v>7506.7</v>
      </c>
      <c r="O19" s="26">
        <f>L19</f>
        <v>7506.7</v>
      </c>
      <c r="P19" s="26"/>
      <c r="Q19" s="18">
        <f t="shared" ref="Q19" si="10">O19-P19</f>
        <v>7506.7</v>
      </c>
      <c r="R19" s="19">
        <f t="shared" ref="R19" si="11">Q19/E19</f>
        <v>0.76284909481944441</v>
      </c>
      <c r="S19" s="26">
        <v>1565.4779000000001</v>
      </c>
      <c r="T19" s="26"/>
      <c r="U19" s="18">
        <f t="shared" si="5"/>
        <v>1565.4779000000001</v>
      </c>
      <c r="V19" s="26">
        <v>700</v>
      </c>
      <c r="W19" s="26"/>
      <c r="X19" s="18">
        <f t="shared" si="6"/>
        <v>700</v>
      </c>
      <c r="Y19" s="26">
        <v>7506.7</v>
      </c>
      <c r="Z19" s="26"/>
      <c r="AA19" s="18">
        <f t="shared" si="7"/>
        <v>7506.7</v>
      </c>
      <c r="AB19" s="19">
        <f t="shared" si="8"/>
        <v>0.76284909481944441</v>
      </c>
    </row>
    <row r="20" spans="1:28" x14ac:dyDescent="0.25">
      <c r="A20" s="24" t="s">
        <v>34</v>
      </c>
      <c r="B20" s="25" t="s">
        <v>35</v>
      </c>
      <c r="C20" s="26"/>
      <c r="D20" s="26"/>
      <c r="E20" s="18">
        <f t="shared" si="0"/>
        <v>0</v>
      </c>
      <c r="F20" s="26"/>
      <c r="G20" s="26"/>
      <c r="H20" s="18">
        <f t="shared" si="1"/>
        <v>0</v>
      </c>
      <c r="I20" s="26"/>
      <c r="J20" s="26"/>
      <c r="K20" s="18">
        <f t="shared" si="2"/>
        <v>0</v>
      </c>
      <c r="L20" s="26"/>
      <c r="M20" s="26"/>
      <c r="N20" s="18">
        <f t="shared" si="3"/>
        <v>0</v>
      </c>
      <c r="O20" s="26"/>
      <c r="P20" s="26"/>
      <c r="Q20" s="18">
        <f t="shared" si="4"/>
        <v>0</v>
      </c>
      <c r="R20" s="19" t="e">
        <f t="shared" si="9"/>
        <v>#DIV/0!</v>
      </c>
      <c r="S20" s="26"/>
      <c r="T20" s="26"/>
      <c r="U20" s="18">
        <f t="shared" si="5"/>
        <v>0</v>
      </c>
      <c r="V20" s="26">
        <v>0</v>
      </c>
      <c r="W20" s="26"/>
      <c r="X20" s="18">
        <f t="shared" si="6"/>
        <v>0</v>
      </c>
      <c r="Y20" s="26"/>
      <c r="Z20" s="26"/>
      <c r="AA20" s="18">
        <f t="shared" si="7"/>
        <v>0</v>
      </c>
      <c r="AB20" s="19" t="e">
        <f t="shared" si="8"/>
        <v>#DIV/0!</v>
      </c>
    </row>
    <row r="21" spans="1:28" ht="19.5" x14ac:dyDescent="0.25">
      <c r="A21" s="20" t="s">
        <v>36</v>
      </c>
      <c r="B21" s="21" t="s">
        <v>37</v>
      </c>
      <c r="C21" s="29">
        <f>C23+C24+C25+C26+C27+C28+C29+C30+C31+C32+C33+C36</f>
        <v>222783.22482999996</v>
      </c>
      <c r="D21" s="29">
        <f>D23+D24+D25+D26+D27+D28+D29+D30+D31+D32+D33+D36</f>
        <v>1873.90669</v>
      </c>
      <c r="E21" s="30">
        <f>C21-D21</f>
        <v>220909.31813999996</v>
      </c>
      <c r="F21" s="29">
        <f>F23+F24+F25+F26+F27+F28+F29+F30+F31+F32+F33+F36</f>
        <v>59594.621110000007</v>
      </c>
      <c r="G21" s="29">
        <f>G23+G24+G25+G26+G27+G28+G29+G30+G31+G32+G33+G36</f>
        <v>31.416799999999999</v>
      </c>
      <c r="H21" s="30">
        <f t="shared" si="1"/>
        <v>59563.204310000008</v>
      </c>
      <c r="I21" s="29">
        <f>I23+I24+I25+I26+I27+I28+I29+I30+I31+I32+I33+I36</f>
        <v>10261.722119999999</v>
      </c>
      <c r="J21" s="29">
        <f>J23+J24+J25+J26+J27+J28+J29+J30+J31+J32+J33+J36</f>
        <v>10.036349999999999</v>
      </c>
      <c r="K21" s="30">
        <f>I21-J21</f>
        <v>10251.685769999998</v>
      </c>
      <c r="L21" s="29">
        <f>L23+L24+L25+L26+L27+L28+L29+L30+L31+L32+L33+L36</f>
        <v>171559.23899999997</v>
      </c>
      <c r="M21" s="29">
        <f>M23+M24+M25+M26+M27+M28+M29+M30+M31+M32+M33+M36</f>
        <v>0</v>
      </c>
      <c r="N21" s="30">
        <f t="shared" si="3"/>
        <v>171559.23899999997</v>
      </c>
      <c r="O21" s="29">
        <f>O23+O24+O25+O26+O27+O28+O29+O30+O31+O32+O33+O36</f>
        <v>171559.23899999997</v>
      </c>
      <c r="P21" s="29">
        <f>P23+P24+P25+P26+P27+P28+P29+P30+P31+P32+P33+P36</f>
        <v>0</v>
      </c>
      <c r="Q21" s="30">
        <f t="shared" si="4"/>
        <v>171559.23899999997</v>
      </c>
      <c r="R21" s="31">
        <f t="shared" si="9"/>
        <v>0.77660480981284519</v>
      </c>
      <c r="S21" s="29">
        <f>S23+S24+S25+S26+S27+S28+S29+S30+S31+S32+S33+S36</f>
        <v>49715.548329999998</v>
      </c>
      <c r="T21" s="29">
        <f>T23+T24+T25+T26+T27+T28+T29+T30+T31+T32+T33+T36</f>
        <v>231.42966999999999</v>
      </c>
      <c r="U21" s="30">
        <f t="shared" si="5"/>
        <v>49484.11866</v>
      </c>
      <c r="V21" s="29">
        <f>V23+V24+V25+V26+V27+V28+V29+V30+V31+V32+V33+V36</f>
        <v>2996.6314000000002</v>
      </c>
      <c r="W21" s="29">
        <f>W23+W24+W25+W26+W27+W28+W29+W30+W31+W32+W33+W36</f>
        <v>0</v>
      </c>
      <c r="X21" s="30">
        <f t="shared" si="6"/>
        <v>2996.6314000000002</v>
      </c>
      <c r="Y21" s="29">
        <f>Y23+Y24+Y25+Y26+Y27+Y28+Y29+Y30+Y31+Y32+Y33+Y36</f>
        <v>171794.23899999997</v>
      </c>
      <c r="Z21" s="29">
        <f>Z23+Z24+Z25+Z26+Z27+Z28+Z29+Z30+Z31+Z32+Z33+Z36</f>
        <v>235</v>
      </c>
      <c r="AA21" s="30">
        <f t="shared" si="7"/>
        <v>171559.23899999997</v>
      </c>
      <c r="AB21" s="31">
        <f t="shared" si="8"/>
        <v>0.77660480981284519</v>
      </c>
    </row>
    <row r="22" spans="1:28" x14ac:dyDescent="0.25">
      <c r="A22" s="24"/>
      <c r="B22" s="25" t="s">
        <v>17</v>
      </c>
      <c r="C22" s="26"/>
      <c r="D22" s="26"/>
      <c r="E22" s="18"/>
      <c r="F22" s="26"/>
      <c r="G22" s="26"/>
      <c r="H22" s="18"/>
      <c r="I22" s="26"/>
      <c r="J22" s="26"/>
      <c r="K22" s="18"/>
      <c r="L22" s="26"/>
      <c r="M22" s="26"/>
      <c r="N22" s="18"/>
      <c r="O22" s="26"/>
      <c r="P22" s="26"/>
      <c r="Q22" s="18"/>
      <c r="R22" s="19"/>
      <c r="S22" s="26"/>
      <c r="T22" s="26"/>
      <c r="U22" s="18"/>
      <c r="V22" s="26"/>
      <c r="W22" s="26"/>
      <c r="X22" s="18"/>
      <c r="Y22" s="26"/>
      <c r="Z22" s="26"/>
      <c r="AA22" s="18"/>
      <c r="AB22" s="19"/>
    </row>
    <row r="23" spans="1:28" ht="38.25" x14ac:dyDescent="0.25">
      <c r="A23" s="24" t="s">
        <v>18</v>
      </c>
      <c r="B23" s="32" t="s">
        <v>38</v>
      </c>
      <c r="C23" s="26"/>
      <c r="D23" s="26"/>
      <c r="E23" s="18">
        <f t="shared" si="0"/>
        <v>0</v>
      </c>
      <c r="F23" s="26"/>
      <c r="G23" s="26"/>
      <c r="H23" s="18">
        <f t="shared" si="1"/>
        <v>0</v>
      </c>
      <c r="I23" s="26"/>
      <c r="J23" s="26"/>
      <c r="K23" s="18">
        <f t="shared" si="2"/>
        <v>0</v>
      </c>
      <c r="L23" s="26"/>
      <c r="M23" s="26"/>
      <c r="N23" s="18">
        <f t="shared" si="3"/>
        <v>0</v>
      </c>
      <c r="O23" s="26"/>
      <c r="P23" s="26"/>
      <c r="Q23" s="18">
        <f t="shared" si="4"/>
        <v>0</v>
      </c>
      <c r="R23" s="19" t="e">
        <f t="shared" si="9"/>
        <v>#DIV/0!</v>
      </c>
      <c r="S23" s="26"/>
      <c r="T23" s="26"/>
      <c r="U23" s="18">
        <f t="shared" si="5"/>
        <v>0</v>
      </c>
      <c r="V23" s="26">
        <v>0</v>
      </c>
      <c r="W23" s="26"/>
      <c r="X23" s="18">
        <f t="shared" si="6"/>
        <v>0</v>
      </c>
      <c r="Y23" s="26"/>
      <c r="Z23" s="26"/>
      <c r="AA23" s="18">
        <f t="shared" si="7"/>
        <v>0</v>
      </c>
      <c r="AB23" s="19" t="e">
        <f t="shared" si="8"/>
        <v>#DIV/0!</v>
      </c>
    </row>
    <row r="24" spans="1:28" ht="25.5" x14ac:dyDescent="0.25">
      <c r="A24" s="24" t="s">
        <v>20</v>
      </c>
      <c r="B24" s="32" t="s">
        <v>39</v>
      </c>
      <c r="C24" s="26"/>
      <c r="D24" s="26"/>
      <c r="E24" s="18">
        <f>C24-D24</f>
        <v>0</v>
      </c>
      <c r="F24" s="26"/>
      <c r="G24" s="26"/>
      <c r="H24" s="18">
        <f t="shared" si="1"/>
        <v>0</v>
      </c>
      <c r="I24" s="26"/>
      <c r="J24" s="26"/>
      <c r="K24" s="18">
        <f t="shared" si="2"/>
        <v>0</v>
      </c>
      <c r="L24" s="26"/>
      <c r="M24" s="26"/>
      <c r="N24" s="18">
        <f t="shared" si="3"/>
        <v>0</v>
      </c>
      <c r="O24" s="26"/>
      <c r="P24" s="26"/>
      <c r="Q24" s="18">
        <f t="shared" si="4"/>
        <v>0</v>
      </c>
      <c r="R24" s="19" t="e">
        <f t="shared" si="9"/>
        <v>#DIV/0!</v>
      </c>
      <c r="S24" s="26"/>
      <c r="T24" s="26"/>
      <c r="U24" s="18">
        <f t="shared" si="5"/>
        <v>0</v>
      </c>
      <c r="V24" s="26">
        <v>0</v>
      </c>
      <c r="W24" s="26"/>
      <c r="X24" s="18">
        <f t="shared" si="6"/>
        <v>0</v>
      </c>
      <c r="Y24" s="26"/>
      <c r="Z24" s="26"/>
      <c r="AA24" s="18">
        <f>Y24-Z24</f>
        <v>0</v>
      </c>
      <c r="AB24" s="19" t="e">
        <f t="shared" si="8"/>
        <v>#DIV/0!</v>
      </c>
    </row>
    <row r="25" spans="1:28" ht="25.5" x14ac:dyDescent="0.25">
      <c r="A25" s="24" t="s">
        <v>22</v>
      </c>
      <c r="B25" s="32" t="s">
        <v>40</v>
      </c>
      <c r="C25" s="26">
        <f>132647.40789+2435.48313</f>
        <v>135082.89102000001</v>
      </c>
      <c r="D25" s="26"/>
      <c r="E25" s="18">
        <f t="shared" ref="E25:E28" si="12">C25-D25</f>
        <v>135082.89102000001</v>
      </c>
      <c r="F25" s="26">
        <f>30111.34549+486.37107</f>
        <v>30597.716560000001</v>
      </c>
      <c r="G25" s="26"/>
      <c r="H25" s="18">
        <f t="shared" si="1"/>
        <v>30597.716560000001</v>
      </c>
      <c r="I25" s="26">
        <f>31220.17431+601.26227-F25</f>
        <v>1223.720019999997</v>
      </c>
      <c r="J25" s="26"/>
      <c r="K25" s="18">
        <f t="shared" si="2"/>
        <v>1223.720019999997</v>
      </c>
      <c r="L25" s="26">
        <f>134272.8+2347.6</f>
        <v>136620.4</v>
      </c>
      <c r="M25" s="26"/>
      <c r="N25" s="18">
        <f t="shared" si="3"/>
        <v>136620.4</v>
      </c>
      <c r="O25" s="26">
        <f>L25</f>
        <v>136620.4</v>
      </c>
      <c r="P25" s="26"/>
      <c r="Q25" s="18">
        <f t="shared" si="4"/>
        <v>136620.4</v>
      </c>
      <c r="R25" s="19"/>
      <c r="S25" s="26">
        <f>33804.91996+477.25864</f>
        <v>34282.178599999999</v>
      </c>
      <c r="T25" s="26"/>
      <c r="U25" s="18">
        <f t="shared" si="5"/>
        <v>34282.178599999999</v>
      </c>
      <c r="V25" s="26">
        <v>1072.9213999999999</v>
      </c>
      <c r="W25" s="26"/>
      <c r="X25" s="18">
        <f t="shared" si="6"/>
        <v>1072.9213999999999</v>
      </c>
      <c r="Y25" s="26">
        <f>134272.8+2347.6</f>
        <v>136620.4</v>
      </c>
      <c r="Z25" s="26"/>
      <c r="AA25" s="18">
        <f t="shared" si="7"/>
        <v>136620.4</v>
      </c>
      <c r="AB25" s="19"/>
    </row>
    <row r="26" spans="1:28" x14ac:dyDescent="0.25">
      <c r="A26" s="24" t="s">
        <v>28</v>
      </c>
      <c r="B26" s="32" t="s">
        <v>41</v>
      </c>
      <c r="C26" s="26"/>
      <c r="D26" s="26"/>
      <c r="E26" s="18">
        <f t="shared" si="12"/>
        <v>0</v>
      </c>
      <c r="F26" s="26"/>
      <c r="G26" s="26"/>
      <c r="H26" s="18">
        <f t="shared" si="1"/>
        <v>0</v>
      </c>
      <c r="I26" s="26"/>
      <c r="J26" s="26"/>
      <c r="K26" s="18">
        <f t="shared" si="2"/>
        <v>0</v>
      </c>
      <c r="L26" s="26"/>
      <c r="M26" s="26"/>
      <c r="N26" s="18">
        <f t="shared" si="3"/>
        <v>0</v>
      </c>
      <c r="O26" s="26"/>
      <c r="P26" s="26"/>
      <c r="Q26" s="18">
        <f t="shared" si="4"/>
        <v>0</v>
      </c>
      <c r="R26" s="19" t="e">
        <f t="shared" si="9"/>
        <v>#DIV/0!</v>
      </c>
      <c r="S26" s="26"/>
      <c r="T26" s="26"/>
      <c r="U26" s="18">
        <f t="shared" si="5"/>
        <v>0</v>
      </c>
      <c r="V26" s="26"/>
      <c r="W26" s="26"/>
      <c r="X26" s="18">
        <f t="shared" si="6"/>
        <v>0</v>
      </c>
      <c r="Y26" s="26"/>
      <c r="Z26" s="26"/>
      <c r="AA26" s="18">
        <f t="shared" si="7"/>
        <v>0</v>
      </c>
      <c r="AB26" s="19" t="e">
        <f t="shared" si="8"/>
        <v>#DIV/0!</v>
      </c>
    </row>
    <row r="27" spans="1:28" ht="38.25" x14ac:dyDescent="0.25">
      <c r="A27" s="24" t="s">
        <v>30</v>
      </c>
      <c r="B27" s="32" t="s">
        <v>42</v>
      </c>
      <c r="C27" s="26">
        <f>20928.60407</f>
        <v>20928.604070000001</v>
      </c>
      <c r="D27" s="26"/>
      <c r="E27" s="18">
        <f t="shared" si="12"/>
        <v>20928.604070000001</v>
      </c>
      <c r="F27" s="26">
        <v>3938.8009699999998</v>
      </c>
      <c r="G27" s="26"/>
      <c r="H27" s="18">
        <f t="shared" si="1"/>
        <v>3938.8009699999998</v>
      </c>
      <c r="I27" s="26">
        <f>5435.4062-F27</f>
        <v>1496.6052300000006</v>
      </c>
      <c r="J27" s="26"/>
      <c r="K27" s="18">
        <f t="shared" si="2"/>
        <v>1496.6052300000006</v>
      </c>
      <c r="L27" s="26">
        <v>16794.8</v>
      </c>
      <c r="M27" s="26"/>
      <c r="N27" s="18">
        <f t="shared" si="3"/>
        <v>16794.8</v>
      </c>
      <c r="O27" s="26">
        <f>L27</f>
        <v>16794.8</v>
      </c>
      <c r="P27" s="26"/>
      <c r="Q27" s="18">
        <f t="shared" si="4"/>
        <v>16794.8</v>
      </c>
      <c r="R27" s="19"/>
      <c r="S27" s="26">
        <v>5608.7766199999996</v>
      </c>
      <c r="T27" s="26"/>
      <c r="U27" s="18">
        <f t="shared" si="5"/>
        <v>5608.7766199999996</v>
      </c>
      <c r="V27" s="26">
        <v>1300</v>
      </c>
      <c r="W27" s="26"/>
      <c r="X27" s="18">
        <f t="shared" si="6"/>
        <v>1300</v>
      </c>
      <c r="Y27" s="26">
        <f>16794.8</f>
        <v>16794.8</v>
      </c>
      <c r="Z27" s="26"/>
      <c r="AA27" s="18">
        <f t="shared" si="7"/>
        <v>16794.8</v>
      </c>
      <c r="AB27" s="19"/>
    </row>
    <row r="28" spans="1:28" ht="38.25" x14ac:dyDescent="0.25">
      <c r="A28" s="24" t="s">
        <v>32</v>
      </c>
      <c r="B28" s="32" t="s">
        <v>43</v>
      </c>
      <c r="C28" s="26"/>
      <c r="D28" s="26"/>
      <c r="E28" s="18">
        <f t="shared" si="12"/>
        <v>0</v>
      </c>
      <c r="F28" s="26"/>
      <c r="G28" s="26"/>
      <c r="H28" s="18">
        <f t="shared" si="1"/>
        <v>0</v>
      </c>
      <c r="I28" s="26"/>
      <c r="J28" s="26"/>
      <c r="K28" s="18">
        <f t="shared" si="2"/>
        <v>0</v>
      </c>
      <c r="L28" s="26"/>
      <c r="M28" s="26"/>
      <c r="N28" s="18">
        <f t="shared" si="3"/>
        <v>0</v>
      </c>
      <c r="O28" s="26"/>
      <c r="P28" s="26"/>
      <c r="Q28" s="18">
        <f t="shared" si="4"/>
        <v>0</v>
      </c>
      <c r="R28" s="19"/>
      <c r="S28" s="26">
        <v>27</v>
      </c>
      <c r="T28" s="26"/>
      <c r="U28" s="18">
        <f t="shared" si="5"/>
        <v>27</v>
      </c>
      <c r="V28" s="26"/>
      <c r="W28" s="26"/>
      <c r="X28" s="18">
        <f t="shared" si="6"/>
        <v>0</v>
      </c>
      <c r="Y28" s="26"/>
      <c r="Z28" s="26"/>
      <c r="AA28" s="18">
        <f t="shared" si="7"/>
        <v>0</v>
      </c>
      <c r="AB28" s="19"/>
    </row>
    <row r="29" spans="1:28" ht="25.5" x14ac:dyDescent="0.25">
      <c r="A29" s="24" t="s">
        <v>34</v>
      </c>
      <c r="B29" s="32" t="s">
        <v>44</v>
      </c>
      <c r="C29" s="26">
        <v>1</v>
      </c>
      <c r="D29" s="26"/>
      <c r="E29" s="18">
        <f t="shared" si="0"/>
        <v>1</v>
      </c>
      <c r="F29" s="26">
        <v>0</v>
      </c>
      <c r="G29" s="26"/>
      <c r="H29" s="18">
        <f t="shared" si="1"/>
        <v>0</v>
      </c>
      <c r="I29" s="26"/>
      <c r="J29" s="26"/>
      <c r="K29" s="18">
        <f t="shared" si="2"/>
        <v>0</v>
      </c>
      <c r="L29" s="26">
        <v>1</v>
      </c>
      <c r="M29" s="26"/>
      <c r="N29" s="18">
        <f t="shared" si="3"/>
        <v>1</v>
      </c>
      <c r="O29" s="26">
        <f>L29</f>
        <v>1</v>
      </c>
      <c r="P29" s="26"/>
      <c r="Q29" s="18">
        <f t="shared" si="4"/>
        <v>1</v>
      </c>
      <c r="R29" s="19">
        <f t="shared" si="9"/>
        <v>1</v>
      </c>
      <c r="S29" s="26"/>
      <c r="T29" s="26"/>
      <c r="U29" s="18">
        <f t="shared" si="5"/>
        <v>0</v>
      </c>
      <c r="V29" s="26"/>
      <c r="W29" s="26"/>
      <c r="X29" s="18">
        <f t="shared" si="6"/>
        <v>0</v>
      </c>
      <c r="Y29" s="26">
        <v>1</v>
      </c>
      <c r="Z29" s="26"/>
      <c r="AA29" s="18">
        <f t="shared" si="7"/>
        <v>1</v>
      </c>
      <c r="AB29" s="19">
        <f t="shared" si="8"/>
        <v>1</v>
      </c>
    </row>
    <row r="30" spans="1:28" ht="25.5" x14ac:dyDescent="0.25">
      <c r="A30" s="24" t="s">
        <v>45</v>
      </c>
      <c r="B30" s="32" t="s">
        <v>46</v>
      </c>
      <c r="C30" s="26">
        <v>36337.310689999998</v>
      </c>
      <c r="D30" s="26"/>
      <c r="E30" s="18">
        <f t="shared" si="0"/>
        <v>36337.310689999998</v>
      </c>
      <c r="F30" s="26">
        <v>20440.000830000001</v>
      </c>
      <c r="G30" s="26"/>
      <c r="H30" s="18">
        <f t="shared" si="1"/>
        <v>20440.000830000001</v>
      </c>
      <c r="I30" s="26">
        <f>24878.99634-F30</f>
        <v>4438.9955100000006</v>
      </c>
      <c r="J30" s="26"/>
      <c r="K30" s="18">
        <f t="shared" si="2"/>
        <v>4438.9955100000006</v>
      </c>
      <c r="L30" s="26">
        <v>9500</v>
      </c>
      <c r="M30" s="26"/>
      <c r="N30" s="18">
        <f t="shared" si="3"/>
        <v>9500</v>
      </c>
      <c r="O30" s="26">
        <f>L30</f>
        <v>9500</v>
      </c>
      <c r="P30" s="26"/>
      <c r="Q30" s="18">
        <f t="shared" si="4"/>
        <v>9500</v>
      </c>
      <c r="R30" s="19">
        <f t="shared" si="9"/>
        <v>0.26143927053507549</v>
      </c>
      <c r="S30" s="26">
        <v>6636.1889700000002</v>
      </c>
      <c r="T30" s="26"/>
      <c r="U30" s="18">
        <f t="shared" si="5"/>
        <v>6636.1889700000002</v>
      </c>
      <c r="V30" s="26">
        <v>0</v>
      </c>
      <c r="W30" s="26"/>
      <c r="X30" s="18">
        <f t="shared" si="6"/>
        <v>0</v>
      </c>
      <c r="Y30" s="26">
        <v>9500</v>
      </c>
      <c r="Z30" s="26"/>
      <c r="AA30" s="18">
        <f t="shared" si="7"/>
        <v>9500</v>
      </c>
      <c r="AB30" s="19">
        <f t="shared" si="8"/>
        <v>0.26143927053507549</v>
      </c>
    </row>
    <row r="31" spans="1:28" ht="25.5" x14ac:dyDescent="0.25">
      <c r="A31" s="24" t="s">
        <v>47</v>
      </c>
      <c r="B31" s="32" t="s">
        <v>48</v>
      </c>
      <c r="C31" s="26">
        <f>572.23803+1635.65427+7510.63278+1283.13422</f>
        <v>11001.659299999999</v>
      </c>
      <c r="D31" s="26">
        <v>1274.1709000000001</v>
      </c>
      <c r="E31" s="18">
        <f t="shared" si="0"/>
        <v>9727.4883999999984</v>
      </c>
      <c r="F31" s="26">
        <v>1839.08617</v>
      </c>
      <c r="G31" s="26">
        <v>26.466799999999999</v>
      </c>
      <c r="H31" s="18">
        <f t="shared" si="1"/>
        <v>1812.6193700000001</v>
      </c>
      <c r="I31" s="26">
        <f>4357.56444-F31</f>
        <v>2518.4782700000001</v>
      </c>
      <c r="J31" s="26">
        <f>36.50315-G31</f>
        <v>10.036349999999999</v>
      </c>
      <c r="K31" s="18">
        <f t="shared" si="2"/>
        <v>2508.4419200000002</v>
      </c>
      <c r="L31" s="26">
        <v>2114.4</v>
      </c>
      <c r="M31" s="26"/>
      <c r="N31" s="18">
        <f t="shared" si="3"/>
        <v>2114.4</v>
      </c>
      <c r="O31" s="26">
        <f>L31</f>
        <v>2114.4</v>
      </c>
      <c r="P31" s="26"/>
      <c r="Q31" s="18">
        <f t="shared" si="4"/>
        <v>2114.4</v>
      </c>
      <c r="R31" s="19">
        <f t="shared" si="9"/>
        <v>0.21736340492577719</v>
      </c>
      <c r="S31" s="26">
        <f>41.74737+76.62592+624.4687</f>
        <v>742.84199000000001</v>
      </c>
      <c r="T31" s="26">
        <f>126.82068</f>
        <v>126.82068</v>
      </c>
      <c r="U31" s="18">
        <f t="shared" si="5"/>
        <v>616.02130999999997</v>
      </c>
      <c r="V31" s="26">
        <v>10.19</v>
      </c>
      <c r="W31" s="26"/>
      <c r="X31" s="18">
        <f t="shared" si="6"/>
        <v>10.19</v>
      </c>
      <c r="Y31" s="26">
        <v>2114.4</v>
      </c>
      <c r="Z31" s="26"/>
      <c r="AA31" s="18">
        <f t="shared" si="7"/>
        <v>2114.4</v>
      </c>
      <c r="AB31" s="19">
        <f t="shared" si="8"/>
        <v>0.21736340492577719</v>
      </c>
    </row>
    <row r="32" spans="1:28" ht="25.5" x14ac:dyDescent="0.25">
      <c r="A32" s="24" t="s">
        <v>49</v>
      </c>
      <c r="B32" s="32" t="s">
        <v>50</v>
      </c>
      <c r="C32" s="26">
        <v>14967.880380000001</v>
      </c>
      <c r="D32" s="26"/>
      <c r="E32" s="18">
        <f t="shared" si="0"/>
        <v>14967.880380000001</v>
      </c>
      <c r="F32" s="26">
        <v>3444.9577100000001</v>
      </c>
      <c r="G32" s="26"/>
      <c r="H32" s="18">
        <f t="shared" si="1"/>
        <v>3444.9577100000001</v>
      </c>
      <c r="I32" s="26">
        <f>3966.96288-F32</f>
        <v>522.00516999999991</v>
      </c>
      <c r="J32" s="26"/>
      <c r="K32" s="18">
        <f t="shared" si="2"/>
        <v>522.00516999999991</v>
      </c>
      <c r="L32" s="26">
        <v>6002.1</v>
      </c>
      <c r="M32" s="26"/>
      <c r="N32" s="18">
        <f t="shared" si="3"/>
        <v>6002.1</v>
      </c>
      <c r="O32" s="26">
        <f>L32</f>
        <v>6002.1</v>
      </c>
      <c r="P32" s="26"/>
      <c r="Q32" s="18">
        <f t="shared" si="4"/>
        <v>6002.1</v>
      </c>
      <c r="R32" s="19">
        <f t="shared" si="9"/>
        <v>0.40099866164216369</v>
      </c>
      <c r="S32" s="26">
        <f>1744.45968</f>
        <v>1744.4596799999999</v>
      </c>
      <c r="T32" s="26"/>
      <c r="U32" s="18">
        <f t="shared" si="5"/>
        <v>1744.4596799999999</v>
      </c>
      <c r="V32" s="26">
        <v>613.52</v>
      </c>
      <c r="W32" s="26"/>
      <c r="X32" s="18">
        <f t="shared" si="6"/>
        <v>613.52</v>
      </c>
      <c r="Y32" s="26">
        <v>6002.1</v>
      </c>
      <c r="Z32" s="26"/>
      <c r="AA32" s="18">
        <f t="shared" si="7"/>
        <v>6002.1</v>
      </c>
      <c r="AB32" s="19">
        <f t="shared" si="8"/>
        <v>0.40099866164216369</v>
      </c>
    </row>
    <row r="33" spans="1:28" x14ac:dyDescent="0.25">
      <c r="A33" s="24" t="s">
        <v>51</v>
      </c>
      <c r="B33" s="32" t="s">
        <v>52</v>
      </c>
      <c r="C33" s="26">
        <f>2879.70991+963.49249+860.29155+30+3.05673</f>
        <v>4736.5506800000003</v>
      </c>
      <c r="D33" s="26">
        <v>35.735790000000001</v>
      </c>
      <c r="E33" s="18">
        <f t="shared" si="0"/>
        <v>4700.8148900000006</v>
      </c>
      <c r="F33" s="26">
        <v>200.70926</v>
      </c>
      <c r="G33" s="26"/>
      <c r="H33" s="18">
        <f t="shared" si="1"/>
        <v>200.70926</v>
      </c>
      <c r="I33" s="26">
        <f>273.28054-F33</f>
        <v>72.571279999999973</v>
      </c>
      <c r="J33" s="26"/>
      <c r="K33" s="18">
        <f t="shared" si="2"/>
        <v>72.571279999999973</v>
      </c>
      <c r="L33" s="26">
        <v>526.53899999999999</v>
      </c>
      <c r="M33" s="26"/>
      <c r="N33" s="18">
        <f t="shared" si="3"/>
        <v>526.53899999999999</v>
      </c>
      <c r="O33" s="26">
        <f>L33</f>
        <v>526.53899999999999</v>
      </c>
      <c r="P33" s="26"/>
      <c r="Q33" s="18">
        <f t="shared" si="4"/>
        <v>526.53899999999999</v>
      </c>
      <c r="R33" s="19">
        <f t="shared" si="9"/>
        <v>0.11201015405224772</v>
      </c>
      <c r="S33" s="26">
        <f>21.07429+542.93051+116.41634+1.7097</f>
        <v>682.13084000000003</v>
      </c>
      <c r="T33" s="26">
        <f>104.60899</f>
        <v>104.60899000000001</v>
      </c>
      <c r="U33" s="18">
        <f t="shared" si="5"/>
        <v>577.52185000000009</v>
      </c>
      <c r="V33" s="26">
        <v>0</v>
      </c>
      <c r="W33" s="26"/>
      <c r="X33" s="18">
        <f t="shared" si="6"/>
        <v>0</v>
      </c>
      <c r="Y33" s="26">
        <v>526.53899999999999</v>
      </c>
      <c r="Z33" s="26"/>
      <c r="AA33" s="18">
        <f t="shared" si="7"/>
        <v>526.53899999999999</v>
      </c>
      <c r="AB33" s="19">
        <f t="shared" si="8"/>
        <v>0.11201015405224772</v>
      </c>
    </row>
    <row r="34" spans="1:28" x14ac:dyDescent="0.25">
      <c r="A34" s="33"/>
      <c r="B34" s="34" t="s">
        <v>7</v>
      </c>
      <c r="C34" s="35"/>
      <c r="D34" s="35"/>
      <c r="E34" s="36"/>
      <c r="F34" s="35"/>
      <c r="G34" s="35"/>
      <c r="H34" s="36"/>
      <c r="I34" s="35"/>
      <c r="J34" s="35"/>
      <c r="K34" s="36"/>
      <c r="L34" s="35"/>
      <c r="M34" s="35"/>
      <c r="N34" s="36"/>
      <c r="O34" s="35"/>
      <c r="P34" s="35"/>
      <c r="Q34" s="36"/>
      <c r="R34" s="37"/>
      <c r="S34" s="35"/>
      <c r="T34" s="35"/>
      <c r="U34" s="36"/>
      <c r="V34" s="35"/>
      <c r="W34" s="35"/>
      <c r="X34" s="36"/>
      <c r="Y34" s="35"/>
      <c r="Z34" s="35"/>
      <c r="AA34" s="36"/>
      <c r="AB34" s="37"/>
    </row>
    <row r="35" spans="1:28" ht="38.25" x14ac:dyDescent="0.25">
      <c r="A35" s="24"/>
      <c r="B35" s="32" t="s">
        <v>53</v>
      </c>
      <c r="C35" s="26"/>
      <c r="D35" s="26"/>
      <c r="E35" s="18">
        <f t="shared" ref="E35" si="13">C35-D35</f>
        <v>0</v>
      </c>
      <c r="F35" s="26"/>
      <c r="G35" s="26"/>
      <c r="H35" s="18">
        <f t="shared" ref="H35" si="14">F35-G35</f>
        <v>0</v>
      </c>
      <c r="I35" s="26"/>
      <c r="J35" s="26"/>
      <c r="K35" s="18">
        <f t="shared" ref="K35" si="15">I35-J35</f>
        <v>0</v>
      </c>
      <c r="L35" s="26"/>
      <c r="M35" s="26"/>
      <c r="N35" s="18">
        <f t="shared" ref="N35" si="16">L35-M35</f>
        <v>0</v>
      </c>
      <c r="O35" s="26"/>
      <c r="P35" s="26"/>
      <c r="Q35" s="18">
        <f t="shared" ref="Q35" si="17">O35-P35</f>
        <v>0</v>
      </c>
      <c r="R35" s="19" t="e">
        <f t="shared" ref="R35" si="18">Q35/E35</f>
        <v>#DIV/0!</v>
      </c>
      <c r="S35" s="26"/>
      <c r="T35" s="26"/>
      <c r="U35" s="18">
        <f t="shared" ref="U35" si="19">S35-T35</f>
        <v>0</v>
      </c>
      <c r="V35" s="26"/>
      <c r="W35" s="26"/>
      <c r="X35" s="18">
        <f t="shared" ref="X35" si="20">V35-W35</f>
        <v>0</v>
      </c>
      <c r="Y35" s="26"/>
      <c r="Z35" s="26"/>
      <c r="AA35" s="18">
        <f t="shared" ref="AA35" si="21">Y35-Z35</f>
        <v>0</v>
      </c>
      <c r="AB35" s="19" t="e">
        <f t="shared" ref="AB35" si="22">AA35/E35</f>
        <v>#DIV/0!</v>
      </c>
    </row>
    <row r="36" spans="1:28" x14ac:dyDescent="0.25">
      <c r="A36" s="24" t="s">
        <v>54</v>
      </c>
      <c r="B36" s="25" t="s">
        <v>55</v>
      </c>
      <c r="C36" s="26">
        <f>-319.93704+47.26573</f>
        <v>-272.67131000000001</v>
      </c>
      <c r="D36" s="26">
        <v>564</v>
      </c>
      <c r="E36" s="18">
        <f t="shared" si="0"/>
        <v>-836.67130999999995</v>
      </c>
      <c r="F36" s="26">
        <f>-866.65039</f>
        <v>-866.65039000000002</v>
      </c>
      <c r="G36" s="26">
        <v>4.95</v>
      </c>
      <c r="H36" s="18">
        <f t="shared" si="1"/>
        <v>-871.60039000000006</v>
      </c>
      <c r="I36" s="26">
        <f>-877.30375-F36</f>
        <v>-10.653360000000021</v>
      </c>
      <c r="J36" s="26">
        <f>4.95-G36</f>
        <v>0</v>
      </c>
      <c r="K36" s="18">
        <f t="shared" si="2"/>
        <v>-10.653360000000021</v>
      </c>
      <c r="L36" s="26"/>
      <c r="M36" s="26"/>
      <c r="N36" s="18">
        <f t="shared" si="3"/>
        <v>0</v>
      </c>
      <c r="O36" s="26"/>
      <c r="P36" s="26"/>
      <c r="Q36" s="18">
        <f t="shared" si="4"/>
        <v>0</v>
      </c>
      <c r="R36" s="19">
        <f t="shared" si="9"/>
        <v>0</v>
      </c>
      <c r="S36" s="26">
        <v>-8.0283700000000007</v>
      </c>
      <c r="T36" s="26"/>
      <c r="U36" s="18">
        <f t="shared" si="5"/>
        <v>-8.0283700000000007</v>
      </c>
      <c r="V36" s="26"/>
      <c r="W36" s="26"/>
      <c r="X36" s="18">
        <f t="shared" si="6"/>
        <v>0</v>
      </c>
      <c r="Y36" s="26">
        <v>235</v>
      </c>
      <c r="Z36" s="26">
        <v>235</v>
      </c>
      <c r="AA36" s="18">
        <f t="shared" si="7"/>
        <v>0</v>
      </c>
      <c r="AB36" s="19">
        <f t="shared" si="8"/>
        <v>0</v>
      </c>
    </row>
    <row r="37" spans="1:28" x14ac:dyDescent="0.25">
      <c r="A37" s="38" t="s">
        <v>56</v>
      </c>
      <c r="B37" s="16" t="s">
        <v>57</v>
      </c>
      <c r="C37" s="17">
        <f>C38+C47+C49+C48</f>
        <v>2298663.7610499999</v>
      </c>
      <c r="D37" s="17">
        <f>D38+D47+D49+D48</f>
        <v>1952682.7277000002</v>
      </c>
      <c r="E37" s="30">
        <f t="shared" si="0"/>
        <v>345981.03334999969</v>
      </c>
      <c r="F37" s="17">
        <f>F38+F47+F49+F48</f>
        <v>212988.31748999999</v>
      </c>
      <c r="G37" s="17">
        <f>G38+G47+G49+G48</f>
        <v>212308.42700999998</v>
      </c>
      <c r="H37" s="30">
        <f t="shared" si="1"/>
        <v>679.89048000000184</v>
      </c>
      <c r="I37" s="17">
        <f>I38+I47+I49+I48</f>
        <v>115121.35349000001</v>
      </c>
      <c r="J37" s="17">
        <f>J38+J47+J49+J48</f>
        <v>101564.52004000002</v>
      </c>
      <c r="K37" s="30">
        <f t="shared" si="2"/>
        <v>13556.833449999991</v>
      </c>
      <c r="L37" s="17">
        <f>L38+L47+L49+L48</f>
        <v>2065702.7926400001</v>
      </c>
      <c r="M37" s="17">
        <f>M38+M47+M49+M48</f>
        <v>1741913.41864</v>
      </c>
      <c r="N37" s="30">
        <f t="shared" si="3"/>
        <v>323789.37400000007</v>
      </c>
      <c r="O37" s="17">
        <f>O38+O47+O49+O48</f>
        <v>2065702.7926400001</v>
      </c>
      <c r="P37" s="17">
        <f>P38+P47+P49+P48</f>
        <v>1741913.41864</v>
      </c>
      <c r="Q37" s="30">
        <f t="shared" si="4"/>
        <v>323789.37400000007</v>
      </c>
      <c r="R37" s="31">
        <f t="shared" si="9"/>
        <v>0.9358587401883669</v>
      </c>
      <c r="S37" s="17">
        <f>S38+S47+S49+S48</f>
        <v>384220.37007999996</v>
      </c>
      <c r="T37" s="17">
        <f>T38+T47+T49+T48</f>
        <v>332972.71715999994</v>
      </c>
      <c r="U37" s="30">
        <f t="shared" si="5"/>
        <v>51247.652920000022</v>
      </c>
      <c r="V37" s="17">
        <f>V38+V47+V49+V48</f>
        <v>131482.20000000001</v>
      </c>
      <c r="W37" s="17">
        <f>W38+W47+W49+W48</f>
        <v>131482.20000000001</v>
      </c>
      <c r="X37" s="30">
        <f t="shared" si="6"/>
        <v>0</v>
      </c>
      <c r="Y37" s="17">
        <f>Y38+Y47+Y49+Y48</f>
        <v>2420884.4044899996</v>
      </c>
      <c r="Z37" s="17">
        <f>Z38+Z47+Z49+Z48</f>
        <v>2095851.1304899999</v>
      </c>
      <c r="AA37" s="30">
        <f t="shared" si="7"/>
        <v>325033.27399999974</v>
      </c>
      <c r="AB37" s="31">
        <f t="shared" si="8"/>
        <v>0.93945402397590716</v>
      </c>
    </row>
    <row r="38" spans="1:28" ht="26.25" x14ac:dyDescent="0.25">
      <c r="A38" s="24" t="s">
        <v>58</v>
      </c>
      <c r="B38" s="25" t="s">
        <v>59</v>
      </c>
      <c r="C38" s="39">
        <f>C39+C43+C45+C46</f>
        <v>2294910.2725399998</v>
      </c>
      <c r="D38" s="39">
        <f>D39+D43+D45+D46</f>
        <v>1951104.6665400001</v>
      </c>
      <c r="E38" s="18">
        <f t="shared" si="0"/>
        <v>343805.60599999968</v>
      </c>
      <c r="F38" s="39">
        <f>F39+F43+F45+F46</f>
        <v>212462.66972999999</v>
      </c>
      <c r="G38" s="39">
        <f>G39+G43+G45+G46</f>
        <v>212462.66972999999</v>
      </c>
      <c r="H38" s="18">
        <f t="shared" si="1"/>
        <v>0</v>
      </c>
      <c r="I38" s="39">
        <f>I39+I43+I45+I46</f>
        <v>115131.38984</v>
      </c>
      <c r="J38" s="39">
        <f>J39+J43+J45+J46</f>
        <v>101452.78634000001</v>
      </c>
      <c r="K38" s="18">
        <f t="shared" si="2"/>
        <v>13678.603499999997</v>
      </c>
      <c r="L38" s="39">
        <f>L39+L43+L45+L46</f>
        <v>2065702.7926400001</v>
      </c>
      <c r="M38" s="39">
        <f>M39+M43+M45+M46</f>
        <v>1741913.41864</v>
      </c>
      <c r="N38" s="18">
        <f t="shared" si="3"/>
        <v>323789.37400000007</v>
      </c>
      <c r="O38" s="39">
        <f>O39+O43+O45+O46</f>
        <v>2065702.7926400001</v>
      </c>
      <c r="P38" s="39">
        <f>P39+P43+P45+P46</f>
        <v>1741913.41864</v>
      </c>
      <c r="Q38" s="18">
        <f t="shared" si="4"/>
        <v>323789.37400000007</v>
      </c>
      <c r="R38" s="19">
        <f t="shared" si="9"/>
        <v>0.94178037922976854</v>
      </c>
      <c r="S38" s="39">
        <f>S39+S43+S45+S46</f>
        <v>383377.86890999996</v>
      </c>
      <c r="T38" s="39">
        <f>T39+T43+T45+T46</f>
        <v>333377.86890999996</v>
      </c>
      <c r="U38" s="18">
        <f t="shared" si="5"/>
        <v>50000</v>
      </c>
      <c r="V38" s="39">
        <f>V39+V43+V45+V46</f>
        <v>131482.20000000001</v>
      </c>
      <c r="W38" s="39">
        <f>W39+W43+W45+W46</f>
        <v>131482.20000000001</v>
      </c>
      <c r="X38" s="18">
        <f t="shared" si="6"/>
        <v>0</v>
      </c>
      <c r="Y38" s="39">
        <f>Y39+Y43+Y45+Y46</f>
        <v>2419640.5044899997</v>
      </c>
      <c r="Z38" s="39">
        <f>Z39+Z43+Z45+Z46</f>
        <v>2095851.1304899999</v>
      </c>
      <c r="AA38" s="18">
        <f t="shared" si="7"/>
        <v>323789.37399999984</v>
      </c>
      <c r="AB38" s="19">
        <f t="shared" si="8"/>
        <v>0.94178037922976787</v>
      </c>
    </row>
    <row r="39" spans="1:28" x14ac:dyDescent="0.25">
      <c r="A39" s="24" t="s">
        <v>18</v>
      </c>
      <c r="B39" s="25" t="s">
        <v>60</v>
      </c>
      <c r="C39" s="26">
        <f>C40+C41+C42</f>
        <v>343805.60599999997</v>
      </c>
      <c r="D39" s="40"/>
      <c r="E39" s="18">
        <f>C39-D39</f>
        <v>343805.60599999997</v>
      </c>
      <c r="F39" s="26">
        <f>F40+F41+F42</f>
        <v>0</v>
      </c>
      <c r="G39" s="40"/>
      <c r="H39" s="18">
        <f>F39-G39</f>
        <v>0</v>
      </c>
      <c r="I39" s="26">
        <f>I40+I41+I42</f>
        <v>13678.603499999999</v>
      </c>
      <c r="J39" s="40"/>
      <c r="K39" s="18">
        <f>I39-J39</f>
        <v>13678.603499999999</v>
      </c>
      <c r="L39" s="26">
        <f>L40+L41+L42</f>
        <v>323789.37400000001</v>
      </c>
      <c r="M39" s="40"/>
      <c r="N39" s="18">
        <f>L39-M39</f>
        <v>323789.37400000001</v>
      </c>
      <c r="O39" s="26">
        <f>O40+O41+O42</f>
        <v>323789.37400000001</v>
      </c>
      <c r="P39" s="40"/>
      <c r="Q39" s="18">
        <f>O39-P39</f>
        <v>323789.37400000001</v>
      </c>
      <c r="R39" s="19">
        <f t="shared" si="9"/>
        <v>0.94178037922976754</v>
      </c>
      <c r="S39" s="26">
        <f>S40+S41+S42</f>
        <v>50000</v>
      </c>
      <c r="T39" s="40"/>
      <c r="U39" s="18">
        <f>S39-T39</f>
        <v>50000</v>
      </c>
      <c r="V39" s="26">
        <f>V40+V41+V42</f>
        <v>0</v>
      </c>
      <c r="W39" s="40"/>
      <c r="X39" s="18">
        <f>V39-W39</f>
        <v>0</v>
      </c>
      <c r="Y39" s="26">
        <f>Y40+Y41+Y42</f>
        <v>323789.37400000001</v>
      </c>
      <c r="Z39" s="40"/>
      <c r="AA39" s="18">
        <f>Y39-Z39</f>
        <v>323789.37400000001</v>
      </c>
      <c r="AB39" s="19">
        <f t="shared" si="8"/>
        <v>0.94178037922976754</v>
      </c>
    </row>
    <row r="40" spans="1:28" x14ac:dyDescent="0.25">
      <c r="A40" s="24"/>
      <c r="B40" s="25" t="s">
        <v>61</v>
      </c>
      <c r="C40" s="26">
        <v>250993.54699999999</v>
      </c>
      <c r="D40" s="40"/>
      <c r="E40" s="18">
        <f>C40-D40</f>
        <v>250993.54699999999</v>
      </c>
      <c r="F40" s="26">
        <v>0</v>
      </c>
      <c r="G40" s="40"/>
      <c r="H40" s="18">
        <f>F40-G40</f>
        <v>0</v>
      </c>
      <c r="I40" s="26">
        <f>12947.09615-F40</f>
        <v>12947.096149999999</v>
      </c>
      <c r="J40" s="40"/>
      <c r="K40" s="18">
        <f t="shared" si="2"/>
        <v>12947.096149999999</v>
      </c>
      <c r="L40" s="26">
        <v>255091.94899999999</v>
      </c>
      <c r="M40" s="40"/>
      <c r="N40" s="18">
        <f t="shared" si="3"/>
        <v>255091.94899999999</v>
      </c>
      <c r="O40" s="26">
        <f>L40</f>
        <v>255091.94899999999</v>
      </c>
      <c r="P40" s="40"/>
      <c r="Q40" s="18">
        <f t="shared" si="4"/>
        <v>255091.94899999999</v>
      </c>
      <c r="R40" s="19">
        <f>Q40/E40</f>
        <v>1.0163287146183084</v>
      </c>
      <c r="S40" s="26">
        <v>45000</v>
      </c>
      <c r="T40" s="40"/>
      <c r="U40" s="18">
        <f t="shared" si="5"/>
        <v>45000</v>
      </c>
      <c r="V40" s="26">
        <v>0</v>
      </c>
      <c r="W40" s="40"/>
      <c r="X40" s="18">
        <f t="shared" si="6"/>
        <v>0</v>
      </c>
      <c r="Y40" s="26">
        <f>O40</f>
        <v>255091.94899999999</v>
      </c>
      <c r="Z40" s="40"/>
      <c r="AA40" s="18">
        <f t="shared" si="7"/>
        <v>255091.94899999999</v>
      </c>
      <c r="AB40" s="19">
        <f>AA40/E40</f>
        <v>1.0163287146183084</v>
      </c>
    </row>
    <row r="41" spans="1:28" x14ac:dyDescent="0.25">
      <c r="A41" s="24"/>
      <c r="B41" s="25" t="s">
        <v>62</v>
      </c>
      <c r="C41" s="26">
        <v>92812.058999999994</v>
      </c>
      <c r="D41" s="40"/>
      <c r="E41" s="18">
        <f t="shared" si="0"/>
        <v>92812.058999999994</v>
      </c>
      <c r="F41" s="26">
        <v>0</v>
      </c>
      <c r="G41" s="40"/>
      <c r="H41" s="18">
        <f t="shared" si="1"/>
        <v>0</v>
      </c>
      <c r="I41" s="26">
        <f>731.50735-F41</f>
        <v>731.50734999999997</v>
      </c>
      <c r="J41" s="40"/>
      <c r="K41" s="18">
        <f t="shared" si="2"/>
        <v>731.50734999999997</v>
      </c>
      <c r="L41" s="26">
        <v>68697.425000000003</v>
      </c>
      <c r="M41" s="40"/>
      <c r="N41" s="18">
        <f t="shared" si="3"/>
        <v>68697.425000000003</v>
      </c>
      <c r="O41" s="26">
        <f>L41</f>
        <v>68697.425000000003</v>
      </c>
      <c r="P41" s="40"/>
      <c r="Q41" s="18">
        <f t="shared" si="4"/>
        <v>68697.425000000003</v>
      </c>
      <c r="R41" s="19">
        <f t="shared" si="9"/>
        <v>0.74017779306027476</v>
      </c>
      <c r="S41" s="26">
        <v>5000</v>
      </c>
      <c r="T41" s="40"/>
      <c r="U41" s="18">
        <f t="shared" si="5"/>
        <v>5000</v>
      </c>
      <c r="V41" s="26">
        <v>0</v>
      </c>
      <c r="W41" s="40"/>
      <c r="X41" s="18">
        <f t="shared" si="6"/>
        <v>0</v>
      </c>
      <c r="Y41" s="26">
        <f>O41</f>
        <v>68697.425000000003</v>
      </c>
      <c r="Z41" s="40"/>
      <c r="AA41" s="18">
        <f t="shared" si="7"/>
        <v>68697.425000000003</v>
      </c>
      <c r="AB41" s="19">
        <f t="shared" si="8"/>
        <v>0.74017779306027476</v>
      </c>
    </row>
    <row r="42" spans="1:28" x14ac:dyDescent="0.25">
      <c r="A42" s="24"/>
      <c r="B42" s="25" t="s">
        <v>63</v>
      </c>
      <c r="C42" s="26"/>
      <c r="D42" s="40"/>
      <c r="E42" s="18">
        <f t="shared" si="0"/>
        <v>0</v>
      </c>
      <c r="F42" s="26"/>
      <c r="G42" s="40"/>
      <c r="H42" s="18">
        <f t="shared" si="1"/>
        <v>0</v>
      </c>
      <c r="I42" s="26"/>
      <c r="J42" s="40"/>
      <c r="K42" s="18">
        <f t="shared" si="2"/>
        <v>0</v>
      </c>
      <c r="L42" s="26"/>
      <c r="M42" s="40"/>
      <c r="N42" s="18">
        <f t="shared" si="3"/>
        <v>0</v>
      </c>
      <c r="O42" s="26"/>
      <c r="P42" s="40"/>
      <c r="Q42" s="18">
        <f t="shared" si="4"/>
        <v>0</v>
      </c>
      <c r="R42" s="19" t="e">
        <f t="shared" si="9"/>
        <v>#DIV/0!</v>
      </c>
      <c r="S42" s="26"/>
      <c r="T42" s="40"/>
      <c r="U42" s="18">
        <f t="shared" si="5"/>
        <v>0</v>
      </c>
      <c r="V42" s="26"/>
      <c r="W42" s="40"/>
      <c r="X42" s="18">
        <f t="shared" si="6"/>
        <v>0</v>
      </c>
      <c r="Y42" s="26"/>
      <c r="Z42" s="40"/>
      <c r="AA42" s="18">
        <f t="shared" si="7"/>
        <v>0</v>
      </c>
      <c r="AB42" s="19" t="e">
        <f t="shared" si="8"/>
        <v>#DIV/0!</v>
      </c>
    </row>
    <row r="43" spans="1:28" x14ac:dyDescent="0.25">
      <c r="A43" s="24" t="s">
        <v>20</v>
      </c>
      <c r="B43" s="25" t="s">
        <v>64</v>
      </c>
      <c r="C43" s="26">
        <v>952529.61693999998</v>
      </c>
      <c r="D43" s="40">
        <f>C43</f>
        <v>952529.61693999998</v>
      </c>
      <c r="E43" s="18">
        <f t="shared" si="0"/>
        <v>0</v>
      </c>
      <c r="F43" s="26">
        <f>39737.65271</f>
        <v>39737.652710000002</v>
      </c>
      <c r="G43" s="40">
        <f>F43</f>
        <v>39737.652710000002</v>
      </c>
      <c r="H43" s="18">
        <f t="shared" si="1"/>
        <v>0</v>
      </c>
      <c r="I43" s="26">
        <f>68352.70637-F43</f>
        <v>28615.053659999998</v>
      </c>
      <c r="J43" s="40">
        <f>I43</f>
        <v>28615.053659999998</v>
      </c>
      <c r="K43" s="18">
        <f t="shared" si="2"/>
        <v>0</v>
      </c>
      <c r="L43" s="26">
        <v>715284.01126000006</v>
      </c>
      <c r="M43" s="40">
        <f>L43</f>
        <v>715284.01126000006</v>
      </c>
      <c r="N43" s="18">
        <f t="shared" si="3"/>
        <v>0</v>
      </c>
      <c r="O43" s="26">
        <f>L43</f>
        <v>715284.01126000006</v>
      </c>
      <c r="P43" s="40">
        <f>O43</f>
        <v>715284.01126000006</v>
      </c>
      <c r="Q43" s="18">
        <f t="shared" si="4"/>
        <v>0</v>
      </c>
      <c r="R43" s="19" t="e">
        <f t="shared" si="9"/>
        <v>#DIV/0!</v>
      </c>
      <c r="S43" s="26">
        <v>135804.83997</v>
      </c>
      <c r="T43" s="40">
        <f>S43</f>
        <v>135804.83997</v>
      </c>
      <c r="U43" s="18">
        <f t="shared" si="5"/>
        <v>0</v>
      </c>
      <c r="V43" s="26">
        <f>511+35415.2</f>
        <v>35926.199999999997</v>
      </c>
      <c r="W43" s="40">
        <f>V43</f>
        <v>35926.199999999997</v>
      </c>
      <c r="X43" s="18">
        <f t="shared" si="6"/>
        <v>0</v>
      </c>
      <c r="Y43" s="26">
        <f>808340.73545+30413</f>
        <v>838753.73545000004</v>
      </c>
      <c r="Z43" s="26">
        <f>Y43</f>
        <v>838753.73545000004</v>
      </c>
      <c r="AA43" s="18">
        <f t="shared" si="7"/>
        <v>0</v>
      </c>
      <c r="AB43" s="19" t="e">
        <f t="shared" si="8"/>
        <v>#DIV/0!</v>
      </c>
    </row>
    <row r="44" spans="1:28" x14ac:dyDescent="0.25">
      <c r="A44" s="24"/>
      <c r="B44" s="25" t="s">
        <v>65</v>
      </c>
      <c r="C44" s="26">
        <v>354414.20629</v>
      </c>
      <c r="D44" s="40">
        <f t="shared" ref="D44:D47" si="23">C44</f>
        <v>354414.20629</v>
      </c>
      <c r="E44" s="18">
        <f t="shared" si="0"/>
        <v>0</v>
      </c>
      <c r="F44" s="26">
        <v>0</v>
      </c>
      <c r="G44" s="40">
        <f t="shared" ref="G44:G47" si="24">F44</f>
        <v>0</v>
      </c>
      <c r="H44" s="18">
        <f t="shared" si="1"/>
        <v>0</v>
      </c>
      <c r="I44" s="26">
        <f>0-F44</f>
        <v>0</v>
      </c>
      <c r="J44" s="40">
        <f t="shared" ref="J44:J47" si="25">I44</f>
        <v>0</v>
      </c>
      <c r="K44" s="18">
        <f t="shared" si="2"/>
        <v>0</v>
      </c>
      <c r="L44" s="26">
        <v>319172.28665999998</v>
      </c>
      <c r="M44" s="40">
        <f t="shared" ref="M44:M47" si="26">L44</f>
        <v>319172.28665999998</v>
      </c>
      <c r="N44" s="18">
        <f t="shared" si="3"/>
        <v>0</v>
      </c>
      <c r="O44" s="26">
        <f>L44</f>
        <v>319172.28665999998</v>
      </c>
      <c r="P44" s="40">
        <f>O44</f>
        <v>319172.28665999998</v>
      </c>
      <c r="Q44" s="18">
        <f t="shared" si="4"/>
        <v>0</v>
      </c>
      <c r="R44" s="19" t="e">
        <f t="shared" si="9"/>
        <v>#DIV/0!</v>
      </c>
      <c r="S44" s="26">
        <v>26715.984390000001</v>
      </c>
      <c r="T44" s="40">
        <f>S44</f>
        <v>26715.984390000001</v>
      </c>
      <c r="U44" s="18">
        <f t="shared" si="5"/>
        <v>0</v>
      </c>
      <c r="V44" s="26">
        <v>0</v>
      </c>
      <c r="W44" s="40">
        <f>V44</f>
        <v>0</v>
      </c>
      <c r="X44" s="18">
        <f t="shared" si="6"/>
        <v>0</v>
      </c>
      <c r="Y44" s="26">
        <v>319172.28665999998</v>
      </c>
      <c r="Z44" s="26">
        <f t="shared" ref="Z44:Z46" si="27">Y44</f>
        <v>319172.28665999998</v>
      </c>
      <c r="AA44" s="18">
        <f t="shared" si="7"/>
        <v>0</v>
      </c>
      <c r="AB44" s="19" t="e">
        <f t="shared" si="8"/>
        <v>#DIV/0!</v>
      </c>
    </row>
    <row r="45" spans="1:28" x14ac:dyDescent="0.25">
      <c r="A45" s="24" t="s">
        <v>22</v>
      </c>
      <c r="B45" s="25" t="s">
        <v>66</v>
      </c>
      <c r="C45" s="26">
        <v>940309.48539000005</v>
      </c>
      <c r="D45" s="40">
        <f t="shared" si="23"/>
        <v>940309.48539000005</v>
      </c>
      <c r="E45" s="18">
        <f t="shared" si="0"/>
        <v>0</v>
      </c>
      <c r="F45" s="26">
        <f>166866.28547</f>
        <v>166866.28547</v>
      </c>
      <c r="G45" s="40">
        <f t="shared" si="24"/>
        <v>166866.28547</v>
      </c>
      <c r="H45" s="18">
        <f t="shared" si="1"/>
        <v>0</v>
      </c>
      <c r="I45" s="26">
        <f>236703.97411-F45</f>
        <v>69837.688640000008</v>
      </c>
      <c r="J45" s="40">
        <f t="shared" si="25"/>
        <v>69837.688640000008</v>
      </c>
      <c r="K45" s="18">
        <f t="shared" si="2"/>
        <v>0</v>
      </c>
      <c r="L45" s="26">
        <v>988479.10737999994</v>
      </c>
      <c r="M45" s="40">
        <f>L45</f>
        <v>988479.10737999994</v>
      </c>
      <c r="N45" s="18">
        <f t="shared" si="3"/>
        <v>0</v>
      </c>
      <c r="O45" s="26">
        <f>L45</f>
        <v>988479.10737999994</v>
      </c>
      <c r="P45" s="40">
        <f>O45</f>
        <v>988479.10737999994</v>
      </c>
      <c r="Q45" s="18">
        <f t="shared" si="4"/>
        <v>0</v>
      </c>
      <c r="R45" s="19" t="e">
        <f t="shared" si="9"/>
        <v>#DIV/0!</v>
      </c>
      <c r="S45" s="26">
        <v>188312.60146999999</v>
      </c>
      <c r="T45" s="40">
        <f>S45</f>
        <v>188312.60146999999</v>
      </c>
      <c r="U45" s="18">
        <f t="shared" si="5"/>
        <v>0</v>
      </c>
      <c r="V45" s="26">
        <f>74115.3+17325</f>
        <v>91440.3</v>
      </c>
      <c r="W45" s="40">
        <f>V45</f>
        <v>91440.3</v>
      </c>
      <c r="X45" s="18">
        <f t="shared" si="6"/>
        <v>0</v>
      </c>
      <c r="Y45" s="26">
        <v>988598.99503999995</v>
      </c>
      <c r="Z45" s="26">
        <f t="shared" si="27"/>
        <v>988598.99503999995</v>
      </c>
      <c r="AA45" s="18">
        <f t="shared" si="7"/>
        <v>0</v>
      </c>
      <c r="AB45" s="19" t="e">
        <f t="shared" si="8"/>
        <v>#DIV/0!</v>
      </c>
    </row>
    <row r="46" spans="1:28" x14ac:dyDescent="0.25">
      <c r="A46" s="24" t="s">
        <v>28</v>
      </c>
      <c r="B46" s="25" t="s">
        <v>67</v>
      </c>
      <c r="C46" s="26">
        <v>58265.564209999997</v>
      </c>
      <c r="D46" s="40">
        <f t="shared" si="23"/>
        <v>58265.564209999997</v>
      </c>
      <c r="E46" s="18">
        <f t="shared" si="0"/>
        <v>0</v>
      </c>
      <c r="F46" s="26">
        <f>5858.73155</f>
        <v>5858.7315500000004</v>
      </c>
      <c r="G46" s="40">
        <f t="shared" si="24"/>
        <v>5858.7315500000004</v>
      </c>
      <c r="H46" s="18">
        <f t="shared" si="1"/>
        <v>0</v>
      </c>
      <c r="I46" s="26">
        <f>8858.77559-F46</f>
        <v>3000.0440399999989</v>
      </c>
      <c r="J46" s="40">
        <f t="shared" si="25"/>
        <v>3000.0440399999989</v>
      </c>
      <c r="K46" s="18">
        <f t="shared" si="2"/>
        <v>0</v>
      </c>
      <c r="L46" s="26">
        <v>38150.300000000003</v>
      </c>
      <c r="M46" s="40">
        <f t="shared" si="26"/>
        <v>38150.300000000003</v>
      </c>
      <c r="N46" s="18">
        <f t="shared" si="3"/>
        <v>0</v>
      </c>
      <c r="O46" s="26">
        <f>L46</f>
        <v>38150.300000000003</v>
      </c>
      <c r="P46" s="40">
        <f>O46</f>
        <v>38150.300000000003</v>
      </c>
      <c r="Q46" s="18">
        <f t="shared" si="4"/>
        <v>0</v>
      </c>
      <c r="R46" s="19" t="e">
        <f t="shared" si="9"/>
        <v>#DIV/0!</v>
      </c>
      <c r="S46" s="26">
        <v>9260.4274700000005</v>
      </c>
      <c r="T46" s="40">
        <f>S46</f>
        <v>9260.4274700000005</v>
      </c>
      <c r="U46" s="18">
        <f t="shared" si="5"/>
        <v>0</v>
      </c>
      <c r="V46" s="26">
        <v>4115.7</v>
      </c>
      <c r="W46" s="40">
        <f>V46</f>
        <v>4115.7</v>
      </c>
      <c r="X46" s="18">
        <f t="shared" si="6"/>
        <v>0</v>
      </c>
      <c r="Y46" s="26">
        <v>268498.40000000002</v>
      </c>
      <c r="Z46" s="26">
        <f t="shared" si="27"/>
        <v>268498.40000000002</v>
      </c>
      <c r="AA46" s="18">
        <f t="shared" si="7"/>
        <v>0</v>
      </c>
      <c r="AB46" s="19" t="e">
        <f t="shared" si="8"/>
        <v>#DIV/0!</v>
      </c>
    </row>
    <row r="47" spans="1:28" x14ac:dyDescent="0.25">
      <c r="A47" s="24" t="s">
        <v>68</v>
      </c>
      <c r="B47" s="25" t="s">
        <v>69</v>
      </c>
      <c r="C47" s="26">
        <v>4455.1210000000001</v>
      </c>
      <c r="D47" s="40">
        <f t="shared" si="23"/>
        <v>4455.1210000000001</v>
      </c>
      <c r="E47" s="18">
        <f>C47-D47</f>
        <v>0</v>
      </c>
      <c r="F47" s="26"/>
      <c r="G47" s="40">
        <f t="shared" si="24"/>
        <v>0</v>
      </c>
      <c r="H47" s="18">
        <f t="shared" si="1"/>
        <v>0</v>
      </c>
      <c r="I47" s="26">
        <f>0</f>
        <v>0</v>
      </c>
      <c r="J47" s="40">
        <f t="shared" si="25"/>
        <v>0</v>
      </c>
      <c r="K47" s="18">
        <f t="shared" si="2"/>
        <v>0</v>
      </c>
      <c r="L47" s="26">
        <v>0</v>
      </c>
      <c r="M47" s="40">
        <f t="shared" si="26"/>
        <v>0</v>
      </c>
      <c r="N47" s="18">
        <f t="shared" si="3"/>
        <v>0</v>
      </c>
      <c r="O47" s="26">
        <v>0</v>
      </c>
      <c r="P47" s="26">
        <f>O47</f>
        <v>0</v>
      </c>
      <c r="Q47" s="18">
        <f t="shared" si="4"/>
        <v>0</v>
      </c>
      <c r="R47" s="19" t="e">
        <f t="shared" si="9"/>
        <v>#DIV/0!</v>
      </c>
      <c r="S47" s="26"/>
      <c r="T47" s="26">
        <f>S47</f>
        <v>0</v>
      </c>
      <c r="U47" s="18">
        <f t="shared" si="5"/>
        <v>0</v>
      </c>
      <c r="V47" s="26">
        <v>0</v>
      </c>
      <c r="W47" s="26"/>
      <c r="X47" s="18">
        <f t="shared" si="6"/>
        <v>0</v>
      </c>
      <c r="Y47" s="26">
        <v>0</v>
      </c>
      <c r="Z47" s="26">
        <v>0</v>
      </c>
      <c r="AA47" s="18">
        <f t="shared" si="7"/>
        <v>0</v>
      </c>
      <c r="AB47" s="19" t="e">
        <f t="shared" si="8"/>
        <v>#DIV/0!</v>
      </c>
    </row>
    <row r="48" spans="1:28" ht="51.75" x14ac:dyDescent="0.25">
      <c r="A48" s="24" t="s">
        <v>70</v>
      </c>
      <c r="B48" s="25" t="s">
        <v>71</v>
      </c>
      <c r="C48" s="26">
        <f>4133.52635+2516.74249</f>
        <v>6650.2688400000006</v>
      </c>
      <c r="D48" s="26">
        <v>4474.8414899999998</v>
      </c>
      <c r="E48" s="18">
        <f>C48-D48</f>
        <v>2175.4273500000008</v>
      </c>
      <c r="F48" s="26">
        <f>3145.15915</f>
        <v>3145.15915</v>
      </c>
      <c r="G48" s="26">
        <f>2465.26867</f>
        <v>2465.2686699999999</v>
      </c>
      <c r="H48" s="18">
        <f t="shared" si="1"/>
        <v>679.89048000000003</v>
      </c>
      <c r="I48" s="26">
        <f>3145.15915-F48</f>
        <v>0</v>
      </c>
      <c r="J48" s="40">
        <f>2587.03872-G48</f>
        <v>121.77005000000008</v>
      </c>
      <c r="K48" s="18">
        <f t="shared" si="2"/>
        <v>-121.77005000000008</v>
      </c>
      <c r="L48" s="26"/>
      <c r="M48" s="40"/>
      <c r="N48" s="18">
        <f t="shared" si="3"/>
        <v>0</v>
      </c>
      <c r="O48" s="26"/>
      <c r="P48" s="26"/>
      <c r="Q48" s="18">
        <f t="shared" si="4"/>
        <v>0</v>
      </c>
      <c r="R48" s="19">
        <f t="shared" si="9"/>
        <v>0</v>
      </c>
      <c r="S48" s="26">
        <f>1134.12836+133.36119</f>
        <v>1267.48955</v>
      </c>
      <c r="T48" s="26">
        <f>19.83663</f>
        <v>19.83663</v>
      </c>
      <c r="U48" s="18">
        <f t="shared" si="5"/>
        <v>1247.65292</v>
      </c>
      <c r="V48" s="26">
        <v>0</v>
      </c>
      <c r="W48" s="26">
        <v>0</v>
      </c>
      <c r="X48" s="18">
        <f t="shared" si="6"/>
        <v>0</v>
      </c>
      <c r="Y48" s="26">
        <v>1243.9000000000001</v>
      </c>
      <c r="Z48" s="26"/>
      <c r="AA48" s="18">
        <f t="shared" si="7"/>
        <v>1243.9000000000001</v>
      </c>
      <c r="AB48" s="19">
        <f t="shared" si="8"/>
        <v>0.57179569798090457</v>
      </c>
    </row>
    <row r="49" spans="1:28" ht="39" x14ac:dyDescent="0.25">
      <c r="A49" s="24" t="s">
        <v>72</v>
      </c>
      <c r="B49" s="25" t="s">
        <v>73</v>
      </c>
      <c r="C49" s="26">
        <f>-7351.90133</f>
        <v>-7351.9013299999997</v>
      </c>
      <c r="D49" s="26">
        <v>-7351.9013299999997</v>
      </c>
      <c r="E49" s="18">
        <f t="shared" si="0"/>
        <v>0</v>
      </c>
      <c r="F49" s="26">
        <f>-2619.51139</f>
        <v>-2619.5113900000001</v>
      </c>
      <c r="G49" s="26">
        <f>-2619.51139</f>
        <v>-2619.5113900000001</v>
      </c>
      <c r="H49" s="18">
        <f t="shared" si="1"/>
        <v>0</v>
      </c>
      <c r="I49" s="26">
        <f>-2629.54774-F49</f>
        <v>-10.036349999999857</v>
      </c>
      <c r="J49" s="40">
        <f>-2629.54774-G49</f>
        <v>-10.036349999999857</v>
      </c>
      <c r="K49" s="18">
        <f t="shared" si="2"/>
        <v>0</v>
      </c>
      <c r="L49" s="26"/>
      <c r="M49" s="40"/>
      <c r="N49" s="18">
        <f t="shared" si="3"/>
        <v>0</v>
      </c>
      <c r="O49" s="26"/>
      <c r="P49" s="26"/>
      <c r="Q49" s="18">
        <f t="shared" si="4"/>
        <v>0</v>
      </c>
      <c r="R49" s="19" t="e">
        <f t="shared" si="9"/>
        <v>#DIV/0!</v>
      </c>
      <c r="S49" s="26">
        <f>-424.98838</f>
        <v>-424.98838000000001</v>
      </c>
      <c r="T49" s="26">
        <f>-424.98838</f>
        <v>-424.98838000000001</v>
      </c>
      <c r="U49" s="18">
        <f t="shared" si="5"/>
        <v>0</v>
      </c>
      <c r="V49" s="26">
        <v>0</v>
      </c>
      <c r="W49" s="26">
        <v>0</v>
      </c>
      <c r="X49" s="18">
        <f t="shared" si="6"/>
        <v>0</v>
      </c>
      <c r="Y49" s="26"/>
      <c r="Z49" s="26"/>
      <c r="AA49" s="18">
        <f t="shared" si="7"/>
        <v>0</v>
      </c>
      <c r="AB49" s="19" t="e">
        <f t="shared" si="8"/>
        <v>#DIV/0!</v>
      </c>
    </row>
    <row r="50" spans="1:28" x14ac:dyDescent="0.25">
      <c r="A50" s="41"/>
      <c r="B50" s="42" t="s">
        <v>74</v>
      </c>
      <c r="C50" s="18">
        <f>C6</f>
        <v>3373105.6049599997</v>
      </c>
      <c r="D50" s="18">
        <f>D6</f>
        <v>1954556.6343900003</v>
      </c>
      <c r="E50" s="18">
        <f>E6</f>
        <v>1418548.9705699994</v>
      </c>
      <c r="F50" s="18">
        <f>F6</f>
        <v>428672.31469000003</v>
      </c>
      <c r="G50" s="18">
        <f t="shared" ref="G50:H50" si="28">G6</f>
        <v>212339.84380999999</v>
      </c>
      <c r="H50" s="18">
        <f t="shared" si="28"/>
        <v>216332.47088000004</v>
      </c>
      <c r="I50" s="18">
        <f>I6</f>
        <v>207240.24080999999</v>
      </c>
      <c r="J50" s="18">
        <f t="shared" ref="J50:K50" si="29">J6</f>
        <v>101574.55639000001</v>
      </c>
      <c r="K50" s="18">
        <f t="shared" si="29"/>
        <v>105665.68441999998</v>
      </c>
      <c r="L50" s="18">
        <f>L6</f>
        <v>3048860.58164</v>
      </c>
      <c r="M50" s="18">
        <f t="shared" ref="M50:N50" si="30">M6</f>
        <v>1741913.41864</v>
      </c>
      <c r="N50" s="18">
        <f t="shared" si="30"/>
        <v>1306947.1629999999</v>
      </c>
      <c r="O50" s="18">
        <f>O6</f>
        <v>3048860.58164</v>
      </c>
      <c r="P50" s="18">
        <f t="shared" ref="P50:Q50" si="31">P6</f>
        <v>1741913.41864</v>
      </c>
      <c r="Q50" s="18">
        <f t="shared" si="31"/>
        <v>1306947.1629999999</v>
      </c>
      <c r="R50" s="19">
        <f t="shared" si="9"/>
        <v>0.92132678540864488</v>
      </c>
      <c r="S50" s="18">
        <f>S6</f>
        <v>577996.04765999992</v>
      </c>
      <c r="T50" s="18">
        <f t="shared" ref="T50:U50" si="32">T6</f>
        <v>333204.14682999993</v>
      </c>
      <c r="U50" s="18">
        <f t="shared" si="32"/>
        <v>244791.90083</v>
      </c>
      <c r="V50" s="18">
        <f>V6</f>
        <v>135901.70140000002</v>
      </c>
      <c r="W50" s="18">
        <f t="shared" ref="W50:X50" si="33">W6</f>
        <v>131482.20000000001</v>
      </c>
      <c r="X50" s="18">
        <f t="shared" si="33"/>
        <v>4419.5014000000083</v>
      </c>
      <c r="Y50" s="18">
        <f>Y6</f>
        <v>3404277.1934899995</v>
      </c>
      <c r="Z50" s="18">
        <f t="shared" ref="Z50:AA50" si="34">Z6</f>
        <v>2096086.1304899999</v>
      </c>
      <c r="AA50" s="18">
        <f t="shared" si="34"/>
        <v>1308191.0629999996</v>
      </c>
      <c r="AB50" s="19">
        <f t="shared" si="8"/>
        <v>0.92220366736746784</v>
      </c>
    </row>
    <row r="51" spans="1:28" x14ac:dyDescent="0.25">
      <c r="A51" s="43" t="s">
        <v>75</v>
      </c>
      <c r="B51" s="44" t="s">
        <v>76</v>
      </c>
      <c r="C51" s="45">
        <f>C52+C86</f>
        <v>3333718.34002</v>
      </c>
      <c r="D51" s="45">
        <f>D52+D86</f>
        <v>1951982.21104</v>
      </c>
      <c r="E51" s="46">
        <f>C51-D51</f>
        <v>1381736.12898</v>
      </c>
      <c r="F51" s="45">
        <f>F52+F86</f>
        <v>338256.83828999999</v>
      </c>
      <c r="G51" s="45">
        <f>G52+G86</f>
        <v>161157.53761</v>
      </c>
      <c r="H51" s="46">
        <f>F51-G51</f>
        <v>177099.30067999999</v>
      </c>
      <c r="I51" s="45">
        <f>I52+I86</f>
        <v>293392.52252</v>
      </c>
      <c r="J51" s="45">
        <f>J52+J86</f>
        <v>144998.31093000001</v>
      </c>
      <c r="K51" s="46">
        <f>I51-J51</f>
        <v>148394.21158999999</v>
      </c>
      <c r="L51" s="45">
        <f>L52+L86</f>
        <v>3147176.2886099997</v>
      </c>
      <c r="M51" s="45">
        <f>M52+M86</f>
        <v>1741913.7386700001</v>
      </c>
      <c r="N51" s="46">
        <f>L51-M51</f>
        <v>1405262.5499399996</v>
      </c>
      <c r="O51" s="45">
        <f>O52+O86</f>
        <v>3250062.7287299996</v>
      </c>
      <c r="P51" s="45">
        <f>P52+P86</f>
        <v>1829008.2870300002</v>
      </c>
      <c r="Q51" s="46">
        <f>O51-P51</f>
        <v>1421054.4416999994</v>
      </c>
      <c r="R51" s="47">
        <f>Q51/E51</f>
        <v>1.0284557318111267</v>
      </c>
      <c r="S51" s="45">
        <f>S52+S86</f>
        <v>565799.45546000008</v>
      </c>
      <c r="T51" s="45">
        <f>T52+T86</f>
        <v>337121.91876999999</v>
      </c>
      <c r="U51" s="46">
        <f>S51-T51</f>
        <v>228677.5366900001</v>
      </c>
      <c r="V51" s="45">
        <f>V52+V86</f>
        <v>235101.90000000002</v>
      </c>
      <c r="W51" s="45">
        <f>W52+W86</f>
        <v>133752.80000000002</v>
      </c>
      <c r="X51" s="46">
        <f>V51-W51</f>
        <v>101349.1</v>
      </c>
      <c r="Y51" s="45">
        <f>Y52+Y86</f>
        <v>3573517.7031999999</v>
      </c>
      <c r="Z51" s="45">
        <f>Z52+Z86</f>
        <v>2097360.1305</v>
      </c>
      <c r="AA51" s="46">
        <f>Y51-Z51</f>
        <v>1476157.5726999999</v>
      </c>
      <c r="AB51" s="47">
        <f t="shared" si="8"/>
        <v>1.0683353657327481</v>
      </c>
    </row>
    <row r="52" spans="1:28" x14ac:dyDescent="0.25">
      <c r="A52" s="48">
        <v>1</v>
      </c>
      <c r="B52" s="49" t="s">
        <v>77</v>
      </c>
      <c r="C52" s="50">
        <f>C53+C57+C62+C63+C64+C65+C79+C80</f>
        <v>2880293.5353399999</v>
      </c>
      <c r="D52" s="50">
        <f>D53+D57+D62+D63+D64+D65+D79+D80</f>
        <v>1725503.4989799999</v>
      </c>
      <c r="E52" s="39">
        <f>C52-D52</f>
        <v>1154790.03636</v>
      </c>
      <c r="F52" s="50">
        <f>F53+F57+F62+F63+F64+F65+F79+F80</f>
        <v>312459.03810000001</v>
      </c>
      <c r="G52" s="50">
        <f>G53+G57+G62+G63+G64+G65+G79+G80</f>
        <v>160838.16310999999</v>
      </c>
      <c r="H52" s="39">
        <f>F52-G52</f>
        <v>151620.87499000001</v>
      </c>
      <c r="I52" s="50">
        <f>I53+I57+I62+I63+I64+I65+I79+I80</f>
        <v>282604.72914000001</v>
      </c>
      <c r="J52" s="50">
        <f>J53+J57+J62+J63+J64+J65+J79+J80</f>
        <v>144696.90493000002</v>
      </c>
      <c r="K52" s="39">
        <f>I52-J52</f>
        <v>137907.82420999999</v>
      </c>
      <c r="L52" s="50">
        <f>L53+L57+L62+L63+L64+L65+L79+L80</f>
        <v>2888020.9719399996</v>
      </c>
      <c r="M52" s="50">
        <f>M53+M57+M62+M63+M64+M65+M79+M80</f>
        <v>1689809.2719700001</v>
      </c>
      <c r="N52" s="39">
        <f>L52-M52</f>
        <v>1198211.6999699995</v>
      </c>
      <c r="O52" s="50">
        <f>O53+O57+O62+O63+O64+O65+O79+O80</f>
        <v>2944108.4429299994</v>
      </c>
      <c r="P52" s="50">
        <f>P53+P57+P62+P63+P64+P65+P79+P80</f>
        <v>1745201.7429600002</v>
      </c>
      <c r="Q52" s="39">
        <f>O52-P52</f>
        <v>1198906.6999699993</v>
      </c>
      <c r="R52" s="51">
        <f>Q52/E52</f>
        <v>1.0382031903817415</v>
      </c>
      <c r="S52" s="50">
        <f>S53+S57+S62+S63+S64+S65+S79+S80</f>
        <v>538209.42567000003</v>
      </c>
      <c r="T52" s="50">
        <f>T53+T57+T62+T63+T64+T65+T79+T80</f>
        <v>331005.94487000001</v>
      </c>
      <c r="U52" s="39">
        <f>S52-T52</f>
        <v>207203.48080000002</v>
      </c>
      <c r="V52" s="50">
        <f>V53+V57+V62+V63+V64+V65+V79+V80</f>
        <v>225280.80000000002</v>
      </c>
      <c r="W52" s="50">
        <f>W53+W57+W62+W63+W64+W65+W79+W80</f>
        <v>133752.80000000002</v>
      </c>
      <c r="X52" s="39">
        <f>V52-W52</f>
        <v>91528</v>
      </c>
      <c r="Y52" s="50">
        <f>Y53+Y57+Y62+Y63+Y64+Y65+Y79+Y80</f>
        <v>3272077.4551499998</v>
      </c>
      <c r="Z52" s="50">
        <f>Z53+Z57+Z62+Z63+Z64+Z65+Z79+Z80</f>
        <v>2019514.46233</v>
      </c>
      <c r="AA52" s="39">
        <f>Y52-Z52</f>
        <v>1252562.9928199998</v>
      </c>
      <c r="AB52" s="51">
        <f t="shared" si="8"/>
        <v>1.0846673017444701</v>
      </c>
    </row>
    <row r="53" spans="1:28" ht="38.25" x14ac:dyDescent="0.25">
      <c r="A53" s="52" t="s">
        <v>13</v>
      </c>
      <c r="B53" s="32" t="s">
        <v>78</v>
      </c>
      <c r="C53" s="26">
        <f>C55+C56+2015.13421+1245.95439</f>
        <v>163217.72047999999</v>
      </c>
      <c r="D53" s="26">
        <f>D55+D56+242.27337</f>
        <v>15312.777920000002</v>
      </c>
      <c r="E53" s="39">
        <f t="shared" si="0"/>
        <v>147904.94256</v>
      </c>
      <c r="F53" s="26">
        <f>20595.8886+102.82324+10.2104+4572.70911</f>
        <v>25281.63135</v>
      </c>
      <c r="G53" s="26">
        <f>1629.6196+378.93815</f>
        <v>2008.5577499999999</v>
      </c>
      <c r="H53" s="39">
        <f t="shared" ref="H53:H104" si="35">F53-G53</f>
        <v>23273.0736</v>
      </c>
      <c r="I53" s="26">
        <f>32212.80587+143.9256+255.5912+7902.00738-F53</f>
        <v>15232.698699999997</v>
      </c>
      <c r="J53" s="26">
        <f>2603.22692+628.31679-G53</f>
        <v>1222.98596</v>
      </c>
      <c r="K53" s="39">
        <f t="shared" ref="K53:K104" si="36">I53-J53</f>
        <v>14009.712739999997</v>
      </c>
      <c r="L53" s="26">
        <f>L55+L56+3031.8</f>
        <v>174701.7977</v>
      </c>
      <c r="M53" s="26">
        <f>M55+M56+354</f>
        <v>16365.697700000001</v>
      </c>
      <c r="N53" s="39">
        <f t="shared" ref="N53:N104" si="37">L53-M53</f>
        <v>158336.1</v>
      </c>
      <c r="O53" s="26">
        <f>O55+O56+2515.41794+2000</f>
        <v>176251.31630000001</v>
      </c>
      <c r="P53" s="26">
        <f>P55+P56+354</f>
        <v>16431.59836</v>
      </c>
      <c r="Q53" s="39">
        <f t="shared" ref="Q53:Q104" si="38">O53-P53</f>
        <v>159819.71794</v>
      </c>
      <c r="R53" s="51">
        <f>Q53/E53</f>
        <v>1.0805569791906486</v>
      </c>
      <c r="S53" s="26">
        <f>S55+S56+61.6816+1136.759</f>
        <v>29834.965510000002</v>
      </c>
      <c r="T53" s="26">
        <f>T55+T56</f>
        <v>2748.6639400000004</v>
      </c>
      <c r="U53" s="39">
        <f t="shared" ref="U53:U104" si="39">S53-T53</f>
        <v>27086.301570000003</v>
      </c>
      <c r="V53" s="26">
        <f>V55+V56+115.2</f>
        <v>10677.400000000001</v>
      </c>
      <c r="W53" s="26">
        <f>W55+W56</f>
        <v>1238.3</v>
      </c>
      <c r="X53" s="39">
        <f t="shared" ref="X53:X104" si="40">V53-W53</f>
        <v>9439.1000000000022</v>
      </c>
      <c r="Y53" s="26">
        <v>180403.31938</v>
      </c>
      <c r="Z53" s="26">
        <v>16431.59836</v>
      </c>
      <c r="AA53" s="39">
        <f t="shared" ref="AA53:AA104" si="41">Y53-Z53</f>
        <v>163971.72102</v>
      </c>
      <c r="AB53" s="51">
        <f t="shared" si="8"/>
        <v>1.1086290842071236</v>
      </c>
    </row>
    <row r="54" spans="1:28" x14ac:dyDescent="0.25">
      <c r="A54" s="52"/>
      <c r="B54" s="32" t="s">
        <v>17</v>
      </c>
      <c r="C54" s="26"/>
      <c r="D54" s="26"/>
      <c r="E54" s="39"/>
      <c r="F54" s="26"/>
      <c r="G54" s="26"/>
      <c r="H54" s="39"/>
      <c r="I54" s="26"/>
      <c r="J54" s="26"/>
      <c r="K54" s="39"/>
      <c r="L54" s="26"/>
      <c r="M54" s="26"/>
      <c r="N54" s="39"/>
      <c r="O54" s="26"/>
      <c r="P54" s="26"/>
      <c r="Q54" s="39"/>
      <c r="R54" s="51"/>
      <c r="S54" s="26"/>
      <c r="T54" s="26"/>
      <c r="U54" s="39"/>
      <c r="V54" s="26"/>
      <c r="W54" s="26"/>
      <c r="X54" s="39"/>
      <c r="Y54" s="26"/>
      <c r="Z54" s="26"/>
      <c r="AA54" s="39"/>
      <c r="AB54" s="51"/>
    </row>
    <row r="55" spans="1:28" ht="25.5" x14ac:dyDescent="0.25">
      <c r="A55" s="52"/>
      <c r="B55" s="32" t="s">
        <v>79</v>
      </c>
      <c r="C55" s="26">
        <v>124762.26432</v>
      </c>
      <c r="D55" s="26">
        <v>11599.00625</v>
      </c>
      <c r="E55" s="39">
        <f t="shared" si="0"/>
        <v>113163.25807</v>
      </c>
      <c r="F55" s="26">
        <f>20595.88866</f>
        <v>20595.888660000001</v>
      </c>
      <c r="G55" s="26">
        <f>1629.6196</f>
        <v>1629.6196</v>
      </c>
      <c r="H55" s="39">
        <f t="shared" si="35"/>
        <v>18966.269059999999</v>
      </c>
      <c r="I55" s="26">
        <f>32212.80587-F55</f>
        <v>11616.91721</v>
      </c>
      <c r="J55" s="26">
        <f>2603.22692-G55</f>
        <v>973.60732000000007</v>
      </c>
      <c r="K55" s="39">
        <f t="shared" si="36"/>
        <v>10643.30989</v>
      </c>
      <c r="L55" s="26">
        <f>131854.03218</f>
        <v>131854.03218000001</v>
      </c>
      <c r="M55" s="26">
        <f>12300.70918</f>
        <v>12300.70918</v>
      </c>
      <c r="N55" s="39">
        <f t="shared" si="37"/>
        <v>119553.323</v>
      </c>
      <c r="O55" s="26">
        <v>131919.93283999999</v>
      </c>
      <c r="P55" s="26">
        <v>12366.609839999999</v>
      </c>
      <c r="Q55" s="39">
        <f t="shared" si="38"/>
        <v>119553.32299999999</v>
      </c>
      <c r="R55" s="51">
        <f t="shared" ref="R55:R78" si="42">Q55/E55</f>
        <v>1.0564676648497275</v>
      </c>
      <c r="S55" s="26">
        <f>22911.08981</f>
        <v>22911.089810000001</v>
      </c>
      <c r="T55" s="26">
        <f>2198.24686</f>
        <v>2198.2468600000002</v>
      </c>
      <c r="U55" s="39">
        <f t="shared" si="39"/>
        <v>20712.842950000002</v>
      </c>
      <c r="V55" s="26">
        <v>8112.3</v>
      </c>
      <c r="W55" s="26">
        <v>951.1</v>
      </c>
      <c r="X55" s="39">
        <f t="shared" si="40"/>
        <v>7161.2</v>
      </c>
      <c r="Y55" s="26">
        <f>O55+4881.7</f>
        <v>136801.63284000001</v>
      </c>
      <c r="Z55" s="26">
        <f>P55</f>
        <v>12366.609839999999</v>
      </c>
      <c r="AA55" s="39">
        <f t="shared" si="41"/>
        <v>124435.023</v>
      </c>
      <c r="AB55" s="51">
        <f t="shared" si="8"/>
        <v>1.0996062248669756</v>
      </c>
    </row>
    <row r="56" spans="1:28" ht="25.5" x14ac:dyDescent="0.25">
      <c r="A56" s="52"/>
      <c r="B56" s="32" t="s">
        <v>80</v>
      </c>
      <c r="C56" s="26">
        <v>35194.367559999999</v>
      </c>
      <c r="D56" s="26">
        <v>3471.4983000000002</v>
      </c>
      <c r="E56" s="39">
        <f t="shared" si="0"/>
        <v>31722.869259999999</v>
      </c>
      <c r="F56" s="26">
        <f>4572.70911</f>
        <v>4572.7091099999998</v>
      </c>
      <c r="G56" s="26">
        <f>378.93815</f>
        <v>378.93815000000001</v>
      </c>
      <c r="H56" s="39">
        <f t="shared" si="35"/>
        <v>4193.7709599999998</v>
      </c>
      <c r="I56" s="26">
        <f>7902.00738-F56</f>
        <v>3329.2982700000002</v>
      </c>
      <c r="J56" s="26">
        <f>628.31679-G56</f>
        <v>249.37863999999996</v>
      </c>
      <c r="K56" s="39">
        <f t="shared" si="36"/>
        <v>3079.9196300000003</v>
      </c>
      <c r="L56" s="26">
        <v>39815.965519999998</v>
      </c>
      <c r="M56" s="26">
        <v>3710.9885199999999</v>
      </c>
      <c r="N56" s="39">
        <f t="shared" si="37"/>
        <v>36104.976999999999</v>
      </c>
      <c r="O56" s="26">
        <v>39815.965519999998</v>
      </c>
      <c r="P56" s="26">
        <v>3710.9885199999999</v>
      </c>
      <c r="Q56" s="39">
        <f t="shared" si="38"/>
        <v>36104.976999999999</v>
      </c>
      <c r="R56" s="51">
        <f t="shared" si="42"/>
        <v>1.1381371812267147</v>
      </c>
      <c r="S56" s="26">
        <v>5725.4350999999997</v>
      </c>
      <c r="T56" s="26">
        <v>550.41708000000006</v>
      </c>
      <c r="U56" s="39">
        <f t="shared" si="39"/>
        <v>5175.0180199999995</v>
      </c>
      <c r="V56" s="26">
        <v>2449.9</v>
      </c>
      <c r="W56" s="26">
        <v>287.2</v>
      </c>
      <c r="X56" s="39">
        <f t="shared" si="40"/>
        <v>2162.7000000000003</v>
      </c>
      <c r="Y56" s="26">
        <f>O56+1172.3</f>
        <v>40988.265520000001</v>
      </c>
      <c r="Z56" s="26">
        <f>P56</f>
        <v>3710.9885199999999</v>
      </c>
      <c r="AA56" s="39">
        <f t="shared" si="41"/>
        <v>37277.277000000002</v>
      </c>
      <c r="AB56" s="51">
        <f t="shared" si="8"/>
        <v>1.1750915938427948</v>
      </c>
    </row>
    <row r="57" spans="1:28" ht="25.5" x14ac:dyDescent="0.25">
      <c r="A57" s="52" t="s">
        <v>56</v>
      </c>
      <c r="B57" s="32" t="s">
        <v>81</v>
      </c>
      <c r="C57" s="26">
        <f>497365.0625-C91</f>
        <v>138466.63633000001</v>
      </c>
      <c r="D57" s="53">
        <f>259105.58304-D91</f>
        <v>32626.870980000007</v>
      </c>
      <c r="E57" s="39">
        <f t="shared" si="0"/>
        <v>105839.76535</v>
      </c>
      <c r="F57" s="26">
        <f>12729.13928</f>
        <v>12729.139279999999</v>
      </c>
      <c r="G57" s="53">
        <f>1046.50287</f>
        <v>1046.50287</v>
      </c>
      <c r="H57" s="39">
        <f t="shared" si="35"/>
        <v>11682.636409999999</v>
      </c>
      <c r="I57" s="26">
        <f>19544.73287-F57</f>
        <v>6815.5935900000004</v>
      </c>
      <c r="J57" s="53">
        <f>1602.67965-G57</f>
        <v>556.17678000000001</v>
      </c>
      <c r="K57" s="39">
        <f t="shared" si="36"/>
        <v>6259.4168100000006</v>
      </c>
      <c r="L57" s="26">
        <v>107540.02428</v>
      </c>
      <c r="M57" s="26">
        <v>8388.9742800000004</v>
      </c>
      <c r="N57" s="39">
        <f t="shared" si="37"/>
        <v>99151.05</v>
      </c>
      <c r="O57" s="26">
        <f>359288.08427-O91</f>
        <v>143761.10326</v>
      </c>
      <c r="P57" s="53">
        <f>127194.05168-P91</f>
        <v>43387.507610000001</v>
      </c>
      <c r="Q57" s="39">
        <f t="shared" si="38"/>
        <v>100373.59565</v>
      </c>
      <c r="R57" s="51">
        <f t="shared" si="42"/>
        <v>0.94835429120686354</v>
      </c>
      <c r="S57" s="26">
        <f>77558.63131-S91</f>
        <v>64226.669599999994</v>
      </c>
      <c r="T57" s="53">
        <f>37571.71531-T91</f>
        <v>31455.741409999999</v>
      </c>
      <c r="U57" s="39">
        <f t="shared" si="39"/>
        <v>32770.928189999991</v>
      </c>
      <c r="V57" s="26">
        <v>9714.5</v>
      </c>
      <c r="W57" s="53">
        <v>4117.6000000000004</v>
      </c>
      <c r="X57" s="39">
        <f t="shared" si="40"/>
        <v>5596.9</v>
      </c>
      <c r="Y57" s="26">
        <f>391473.20206-Y91+30413</f>
        <v>215876.57779999997</v>
      </c>
      <c r="Z57" s="26">
        <f>139813.93115-Z91+1274+30413</f>
        <v>93655.262979999985</v>
      </c>
      <c r="AA57" s="39">
        <f t="shared" si="41"/>
        <v>122221.31481999999</v>
      </c>
      <c r="AB57" s="51">
        <f t="shared" si="8"/>
        <v>1.1547768876454712</v>
      </c>
    </row>
    <row r="58" spans="1:28" x14ac:dyDescent="0.25">
      <c r="A58" s="54"/>
      <c r="B58" s="55" t="s">
        <v>7</v>
      </c>
      <c r="C58" s="35"/>
      <c r="D58" s="56"/>
      <c r="E58" s="57"/>
      <c r="F58" s="35"/>
      <c r="G58" s="56"/>
      <c r="H58" s="57"/>
      <c r="I58" s="35"/>
      <c r="J58" s="56"/>
      <c r="K58" s="57"/>
      <c r="L58" s="26"/>
      <c r="M58" s="26"/>
      <c r="N58" s="57"/>
      <c r="O58" s="35"/>
      <c r="P58" s="56"/>
      <c r="Q58" s="57"/>
      <c r="R58" s="58"/>
      <c r="S58" s="35"/>
      <c r="T58" s="56"/>
      <c r="U58" s="57"/>
      <c r="V58" s="35"/>
      <c r="W58" s="56"/>
      <c r="X58" s="57"/>
      <c r="Y58" s="26"/>
      <c r="Z58" s="26"/>
      <c r="AA58" s="57"/>
      <c r="AB58" s="58"/>
    </row>
    <row r="59" spans="1:28" ht="25.5" x14ac:dyDescent="0.25">
      <c r="A59" s="24"/>
      <c r="B59" s="32" t="s">
        <v>82</v>
      </c>
      <c r="C59" s="26">
        <f>25028.01733+2330.82446</f>
        <v>27358.841789999999</v>
      </c>
      <c r="D59" s="59">
        <f>585.20132</f>
        <v>585.20132000000001</v>
      </c>
      <c r="E59" s="39">
        <f t="shared" si="0"/>
        <v>26773.640469999998</v>
      </c>
      <c r="F59" s="26">
        <v>6883</v>
      </c>
      <c r="G59" s="59">
        <v>38</v>
      </c>
      <c r="H59" s="39">
        <f t="shared" si="35"/>
        <v>6845</v>
      </c>
      <c r="I59" s="26">
        <f>9420.05+1639.62782-F59</f>
        <v>4176.677819999999</v>
      </c>
      <c r="J59" s="59">
        <f>117.8638-G59</f>
        <v>79.863799999999998</v>
      </c>
      <c r="K59" s="39">
        <f t="shared" ref="K59:K61" si="43">I59-J59</f>
        <v>4096.8140199999989</v>
      </c>
      <c r="L59" s="26">
        <f>28249.706+197.445</f>
        <v>28447.150999999998</v>
      </c>
      <c r="M59" s="26">
        <f>0+197.445</f>
        <v>197.44499999999999</v>
      </c>
      <c r="N59" s="39">
        <f t="shared" ref="N59:N61" si="44">L59-M59</f>
        <v>28249.705999999998</v>
      </c>
      <c r="O59" s="26">
        <f>28250+733.49042</f>
        <v>28983.490419999998</v>
      </c>
      <c r="P59" s="59">
        <f>0+719.76343</f>
        <v>719.76342999999997</v>
      </c>
      <c r="Q59" s="39">
        <f t="shared" ref="Q59:Q61" si="45">O59-P59</f>
        <v>28263.726989999999</v>
      </c>
      <c r="R59" s="51">
        <f t="shared" si="42"/>
        <v>1.0556549835525599</v>
      </c>
      <c r="S59" s="26">
        <f>6624.33+141.34854</f>
        <v>6765.6785399999999</v>
      </c>
      <c r="T59" s="59">
        <f>0+82.05696</f>
        <v>82.056960000000004</v>
      </c>
      <c r="U59" s="39">
        <f t="shared" ref="U59:U61" si="46">S59-T59</f>
        <v>6683.62158</v>
      </c>
      <c r="V59" s="26">
        <v>4406.7</v>
      </c>
      <c r="W59" s="59">
        <v>78.2</v>
      </c>
      <c r="X59" s="39">
        <f t="shared" ref="X59:X61" si="47">V59-W59</f>
        <v>4328.5</v>
      </c>
      <c r="Y59" s="26">
        <v>28962</v>
      </c>
      <c r="Z59" s="26">
        <v>699</v>
      </c>
      <c r="AA59" s="39">
        <f t="shared" ref="AA59:AA61" si="48">Y59-Z59</f>
        <v>28263</v>
      </c>
      <c r="AB59" s="51">
        <f t="shared" si="8"/>
        <v>1.0556278303530982</v>
      </c>
    </row>
    <row r="60" spans="1:28" ht="25.5" x14ac:dyDescent="0.25">
      <c r="A60" s="24"/>
      <c r="B60" s="32" t="s">
        <v>83</v>
      </c>
      <c r="C60" s="26">
        <f>43043.9664+1618.47411</f>
        <v>44662.44051</v>
      </c>
      <c r="D60" s="59">
        <f>99.49392+5016</f>
        <v>5115.4939199999999</v>
      </c>
      <c r="E60" s="39">
        <f t="shared" si="0"/>
        <v>39546.94659</v>
      </c>
      <c r="F60" s="26">
        <v>4112</v>
      </c>
      <c r="G60" s="59">
        <v>866</v>
      </c>
      <c r="H60" s="39">
        <f t="shared" si="35"/>
        <v>3246</v>
      </c>
      <c r="I60" s="26">
        <f>6054.167+28.26903-F60</f>
        <v>1970.4360300000008</v>
      </c>
      <c r="J60" s="59">
        <f>1298.609+19.20093-G60</f>
        <v>451.80992999999989</v>
      </c>
      <c r="K60" s="39">
        <f t="shared" si="43"/>
        <v>1518.6261000000009</v>
      </c>
      <c r="L60" s="26">
        <f>42611.993+10029.781</f>
        <v>52641.774000000005</v>
      </c>
      <c r="M60" s="26">
        <f>5343.3</f>
        <v>5343.3</v>
      </c>
      <c r="N60" s="39">
        <f t="shared" si="44"/>
        <v>47298.474000000002</v>
      </c>
      <c r="O60" s="26">
        <f>43678+201.8938</f>
        <v>43879.893799999998</v>
      </c>
      <c r="P60" s="59">
        <f>5343+101.89381</f>
        <v>5444.8938099999996</v>
      </c>
      <c r="Q60" s="39">
        <f t="shared" si="45"/>
        <v>38434.999989999997</v>
      </c>
      <c r="R60" s="51">
        <f t="shared" si="42"/>
        <v>0.97188287097034254</v>
      </c>
      <c r="S60" s="26">
        <f>8847.038+15.69312</f>
        <v>8862.7311200000004</v>
      </c>
      <c r="T60" s="59">
        <f>1020.476+15.69312</f>
        <v>1036.16912</v>
      </c>
      <c r="U60" s="39">
        <f t="shared" si="46"/>
        <v>7826.5619999999999</v>
      </c>
      <c r="V60" s="26">
        <v>1458.6</v>
      </c>
      <c r="W60" s="59">
        <v>3745.6</v>
      </c>
      <c r="X60" s="39">
        <f t="shared" si="47"/>
        <v>-2287</v>
      </c>
      <c r="Y60" s="26">
        <v>92536</v>
      </c>
      <c r="Z60" s="26">
        <f>P60+48756</f>
        <v>54200.893810000001</v>
      </c>
      <c r="AA60" s="39">
        <f t="shared" si="48"/>
        <v>38335.106189999999</v>
      </c>
      <c r="AB60" s="51">
        <f t="shared" si="8"/>
        <v>0.96935691615932662</v>
      </c>
    </row>
    <row r="61" spans="1:28" ht="25.5" x14ac:dyDescent="0.25">
      <c r="A61" s="24"/>
      <c r="B61" s="32" t="s">
        <v>84</v>
      </c>
      <c r="C61" s="26">
        <f>40854.61667+1858.08809</f>
        <v>42712.704760000001</v>
      </c>
      <c r="D61" s="59">
        <f>1492.80575+18924</f>
        <v>20416.80575</v>
      </c>
      <c r="E61" s="39">
        <f t="shared" si="0"/>
        <v>22295.899010000001</v>
      </c>
      <c r="F61" s="26">
        <f>0</f>
        <v>0</v>
      </c>
      <c r="G61" s="59">
        <f>0</f>
        <v>0</v>
      </c>
      <c r="H61" s="39">
        <f t="shared" si="35"/>
        <v>0</v>
      </c>
      <c r="I61" s="26"/>
      <c r="J61" s="59"/>
      <c r="K61" s="39">
        <f t="shared" si="43"/>
        <v>0</v>
      </c>
      <c r="L61" s="26">
        <f>0+838.1</f>
        <v>838.1</v>
      </c>
      <c r="M61" s="26">
        <f>0+238.1</f>
        <v>238.1</v>
      </c>
      <c r="N61" s="39">
        <f t="shared" si="44"/>
        <v>600</v>
      </c>
      <c r="O61" s="26">
        <f>45955.54+1365</f>
        <v>47320.54</v>
      </c>
      <c r="P61" s="59">
        <f>30175.2+238.1</f>
        <v>30413.3</v>
      </c>
      <c r="Q61" s="39">
        <f t="shared" si="45"/>
        <v>16907.240000000002</v>
      </c>
      <c r="R61" s="51">
        <f t="shared" si="42"/>
        <v>0.75831165150222846</v>
      </c>
      <c r="S61" s="26">
        <f>45955.54+526.9</f>
        <v>46482.44</v>
      </c>
      <c r="T61" s="59">
        <f>30175</f>
        <v>30175</v>
      </c>
      <c r="U61" s="39">
        <f t="shared" si="46"/>
        <v>16307.440000000002</v>
      </c>
      <c r="V61" s="26">
        <v>258</v>
      </c>
      <c r="W61" s="59">
        <v>25</v>
      </c>
      <c r="X61" s="39">
        <f t="shared" si="47"/>
        <v>233</v>
      </c>
      <c r="Y61" s="26">
        <f>O61</f>
        <v>47320.54</v>
      </c>
      <c r="Z61" s="26">
        <f>P61</f>
        <v>30413.3</v>
      </c>
      <c r="AA61" s="39">
        <f t="shared" si="48"/>
        <v>16907.240000000002</v>
      </c>
      <c r="AB61" s="51">
        <f t="shared" si="8"/>
        <v>0.75831165150222846</v>
      </c>
    </row>
    <row r="62" spans="1:28" ht="25.5" x14ac:dyDescent="0.25">
      <c r="A62" s="52" t="s">
        <v>85</v>
      </c>
      <c r="B62" s="32" t="s">
        <v>86</v>
      </c>
      <c r="C62" s="26">
        <f>55147.44993-C96</f>
        <v>54150.395000000004</v>
      </c>
      <c r="D62" s="53">
        <f>47239.47923-D96</f>
        <v>47239.479229999997</v>
      </c>
      <c r="E62" s="39">
        <f t="shared" si="0"/>
        <v>6910.9157700000069</v>
      </c>
      <c r="F62" s="26">
        <f>12336.91271</f>
        <v>12336.912710000001</v>
      </c>
      <c r="G62" s="53">
        <f>11530.08042</f>
        <v>11530.08042</v>
      </c>
      <c r="H62" s="39">
        <f t="shared" si="35"/>
        <v>806.83229000000028</v>
      </c>
      <c r="I62" s="26">
        <f>17173.17943-F62</f>
        <v>4836.2667199999996</v>
      </c>
      <c r="J62" s="53">
        <f>15915.47001-G62</f>
        <v>4385.3895899999989</v>
      </c>
      <c r="K62" s="39">
        <f t="shared" si="36"/>
        <v>450.87713000000076</v>
      </c>
      <c r="L62" s="26">
        <v>72637.649999999994</v>
      </c>
      <c r="M62" s="53">
        <v>66711.899999999994</v>
      </c>
      <c r="N62" s="39">
        <f t="shared" si="37"/>
        <v>5925.75</v>
      </c>
      <c r="O62" s="26">
        <f>73586.15308-O96</f>
        <v>73463.553079999998</v>
      </c>
      <c r="P62" s="53">
        <f>66711.9</f>
        <v>66711.899999999994</v>
      </c>
      <c r="Q62" s="39">
        <f t="shared" si="38"/>
        <v>6751.6530800000037</v>
      </c>
      <c r="R62" s="51">
        <f t="shared" si="42"/>
        <v>0.97695490796004836</v>
      </c>
      <c r="S62" s="26">
        <f>16737.63999-S96</f>
        <v>16737.63999</v>
      </c>
      <c r="T62" s="53">
        <f>15305.92239</f>
        <v>15305.92239</v>
      </c>
      <c r="U62" s="39">
        <f t="shared" si="39"/>
        <v>1431.7175999999999</v>
      </c>
      <c r="V62" s="26">
        <v>5579.3</v>
      </c>
      <c r="W62" s="53">
        <v>5412.3</v>
      </c>
      <c r="X62" s="39">
        <f t="shared" si="40"/>
        <v>167</v>
      </c>
      <c r="Y62" s="26">
        <f>74072.16308-Y96+280</f>
        <v>74229.563079999993</v>
      </c>
      <c r="Z62" s="26">
        <f>66711.9</f>
        <v>66711.899999999994</v>
      </c>
      <c r="AA62" s="39">
        <f t="shared" si="41"/>
        <v>7517.6630799999984</v>
      </c>
      <c r="AB62" s="51">
        <f t="shared" si="8"/>
        <v>1.087795500653308</v>
      </c>
    </row>
    <row r="63" spans="1:28" ht="25.5" x14ac:dyDescent="0.25">
      <c r="A63" s="52" t="s">
        <v>87</v>
      </c>
      <c r="B63" s="32" t="s">
        <v>88</v>
      </c>
      <c r="C63" s="26">
        <f>366730.27154-C97</f>
        <v>366730.27153999999</v>
      </c>
      <c r="D63" s="59">
        <v>347764.20629</v>
      </c>
      <c r="E63" s="39">
        <f t="shared" si="0"/>
        <v>18966.065249999985</v>
      </c>
      <c r="F63" s="26"/>
      <c r="G63" s="59"/>
      <c r="H63" s="39">
        <f t="shared" si="35"/>
        <v>0</v>
      </c>
      <c r="I63" s="26"/>
      <c r="J63" s="59"/>
      <c r="K63" s="39">
        <f t="shared" si="36"/>
        <v>0</v>
      </c>
      <c r="L63" s="26">
        <v>351266.43790999998</v>
      </c>
      <c r="M63" s="59">
        <v>319172.28665999998</v>
      </c>
      <c r="N63" s="39">
        <f t="shared" si="37"/>
        <v>32094.151249999995</v>
      </c>
      <c r="O63" s="26">
        <f>360186.31891-O97</f>
        <v>350961.63790999999</v>
      </c>
      <c r="P63" s="59">
        <v>319172.28665999998</v>
      </c>
      <c r="Q63" s="39">
        <f t="shared" si="38"/>
        <v>31789.351250000007</v>
      </c>
      <c r="R63" s="51">
        <f t="shared" si="42"/>
        <v>1.6761173617706515</v>
      </c>
      <c r="S63" s="26">
        <v>28122.088830000001</v>
      </c>
      <c r="T63" s="59">
        <f>26715.98439</f>
        <v>26715.984390000001</v>
      </c>
      <c r="U63" s="39">
        <f t="shared" si="39"/>
        <v>1406.1044399999992</v>
      </c>
      <c r="V63" s="26"/>
      <c r="W63" s="59"/>
      <c r="X63" s="39">
        <f t="shared" si="40"/>
        <v>0</v>
      </c>
      <c r="Y63" s="26">
        <v>594964</v>
      </c>
      <c r="Z63" s="26">
        <v>541261.88665999996</v>
      </c>
      <c r="AA63" s="39">
        <f t="shared" si="41"/>
        <v>53702.11334000004</v>
      </c>
      <c r="AB63" s="51">
        <f t="shared" si="8"/>
        <v>2.8314841603742811</v>
      </c>
    </row>
    <row r="64" spans="1:28" x14ac:dyDescent="0.25">
      <c r="A64" s="52" t="s">
        <v>89</v>
      </c>
      <c r="B64" s="32" t="s">
        <v>90</v>
      </c>
      <c r="C64" s="26"/>
      <c r="D64" s="59"/>
      <c r="E64" s="39">
        <f t="shared" si="0"/>
        <v>0</v>
      </c>
      <c r="F64" s="26"/>
      <c r="G64" s="59"/>
      <c r="H64" s="39">
        <f t="shared" si="35"/>
        <v>0</v>
      </c>
      <c r="I64" s="26"/>
      <c r="J64" s="59"/>
      <c r="K64" s="39">
        <f t="shared" si="36"/>
        <v>0</v>
      </c>
      <c r="L64" s="26"/>
      <c r="M64" s="59"/>
      <c r="N64" s="39">
        <f t="shared" si="37"/>
        <v>0</v>
      </c>
      <c r="O64" s="26"/>
      <c r="P64" s="59"/>
      <c r="Q64" s="39">
        <f t="shared" si="38"/>
        <v>0</v>
      </c>
      <c r="R64" s="51" t="e">
        <f t="shared" si="42"/>
        <v>#DIV/0!</v>
      </c>
      <c r="S64" s="26"/>
      <c r="T64" s="59"/>
      <c r="U64" s="39">
        <f t="shared" si="39"/>
        <v>0</v>
      </c>
      <c r="V64" s="26"/>
      <c r="W64" s="59"/>
      <c r="X64" s="39">
        <f t="shared" si="40"/>
        <v>0</v>
      </c>
      <c r="Y64" s="26"/>
      <c r="Z64" s="26"/>
      <c r="AA64" s="39">
        <f t="shared" si="41"/>
        <v>0</v>
      </c>
      <c r="AB64" s="51" t="e">
        <f t="shared" si="8"/>
        <v>#DIV/0!</v>
      </c>
    </row>
    <row r="65" spans="1:28" ht="38.25" x14ac:dyDescent="0.25">
      <c r="A65" s="52" t="s">
        <v>91</v>
      </c>
      <c r="B65" s="32" t="s">
        <v>92</v>
      </c>
      <c r="C65" s="26">
        <v>2139587.1211100002</v>
      </c>
      <c r="D65" s="59">
        <v>1279238.31467</v>
      </c>
      <c r="E65" s="39">
        <f t="shared" si="0"/>
        <v>860348.80644000019</v>
      </c>
      <c r="F65" s="26">
        <f>262009.95763</f>
        <v>262009.95762999999</v>
      </c>
      <c r="G65" s="59">
        <f>146253.02207</f>
        <v>146253.02207000001</v>
      </c>
      <c r="H65" s="39">
        <f t="shared" si="35"/>
        <v>115756.93555999998</v>
      </c>
      <c r="I65" s="26">
        <f>517086.4052-F65</f>
        <v>255076.44756999999</v>
      </c>
      <c r="J65" s="59">
        <f>284185.16467-G65</f>
        <v>137932.14260000002</v>
      </c>
      <c r="K65" s="39">
        <f t="shared" si="36"/>
        <v>117144.30496999997</v>
      </c>
      <c r="L65" s="26">
        <v>2157410.9620500002</v>
      </c>
      <c r="M65" s="59">
        <v>1275139.31333</v>
      </c>
      <c r="N65" s="39">
        <f t="shared" si="37"/>
        <v>882271.64872000017</v>
      </c>
      <c r="O65" s="26">
        <v>2175630.6323799998</v>
      </c>
      <c r="P65" s="59">
        <v>1295467.35033</v>
      </c>
      <c r="Q65" s="39">
        <f t="shared" si="38"/>
        <v>880163.28204999981</v>
      </c>
      <c r="R65" s="51">
        <f t="shared" si="42"/>
        <v>1.0230307469036763</v>
      </c>
      <c r="S65" s="26">
        <v>398971.72963999998</v>
      </c>
      <c r="T65" s="59">
        <v>254779.63274</v>
      </c>
      <c r="U65" s="39">
        <f t="shared" si="39"/>
        <v>144192.09689999997</v>
      </c>
      <c r="V65" s="26">
        <v>198459.6</v>
      </c>
      <c r="W65" s="59">
        <f>124258.6-1274</f>
        <v>122984.6</v>
      </c>
      <c r="X65" s="39">
        <f t="shared" si="40"/>
        <v>75475</v>
      </c>
      <c r="Y65" s="26">
        <v>2182648.6948899999</v>
      </c>
      <c r="Z65" s="26">
        <f>1297187.71433+235</f>
        <v>1297422.7143300001</v>
      </c>
      <c r="AA65" s="39">
        <f t="shared" si="41"/>
        <v>885225.98055999982</v>
      </c>
      <c r="AB65" s="51">
        <f t="shared" si="8"/>
        <v>1.0289152189597819</v>
      </c>
    </row>
    <row r="66" spans="1:28" ht="51" x14ac:dyDescent="0.25">
      <c r="A66" s="52"/>
      <c r="B66" s="60" t="s">
        <v>93</v>
      </c>
      <c r="C66" s="61">
        <f>C67+C70+C71+C72+C73+C74</f>
        <v>2075847.1836100002</v>
      </c>
      <c r="D66" s="61">
        <f>D67+D70+D71+D72+D73+D74</f>
        <v>1232924.98832</v>
      </c>
      <c r="E66" s="61">
        <f t="shared" si="0"/>
        <v>842922.19529000018</v>
      </c>
      <c r="F66" s="62">
        <f>F67+F70+F71+F72+F73+F74</f>
        <v>335083.9584</v>
      </c>
      <c r="G66" s="62">
        <f>G67+G70+G71+G72+G73+G74</f>
        <v>173114.97681999998</v>
      </c>
      <c r="H66" s="61">
        <f t="shared" si="35"/>
        <v>161968.98158000002</v>
      </c>
      <c r="I66" s="62">
        <f>I67+I70+I71+I72+I73+I74</f>
        <v>20382.111610000004</v>
      </c>
      <c r="J66" s="62">
        <f>J67+J70+J71+J72+J73+J74</f>
        <v>6657.1118799999822</v>
      </c>
      <c r="K66" s="61">
        <f t="shared" si="36"/>
        <v>13724.999730000021</v>
      </c>
      <c r="L66" s="62">
        <f>L67+L70+L71+L72+L73+L74</f>
        <v>2157411</v>
      </c>
      <c r="M66" s="62">
        <f>M67+M70+M71+M72+M73+M74</f>
        <v>1275139</v>
      </c>
      <c r="N66" s="61">
        <f t="shared" si="37"/>
        <v>882272</v>
      </c>
      <c r="O66" s="62">
        <f>O67+O70+O71+O72+O73+O74</f>
        <v>2375114.8833499998</v>
      </c>
      <c r="P66" s="62">
        <f>P67+P70+P71+P72+P73+P74</f>
        <v>1424187.7000000002</v>
      </c>
      <c r="Q66" s="61">
        <f t="shared" si="38"/>
        <v>950927.1833499996</v>
      </c>
      <c r="R66" s="63">
        <f t="shared" si="42"/>
        <v>1.1281316219498068</v>
      </c>
      <c r="S66" s="62">
        <f>S67+S70+S71+S72+S73+S74</f>
        <v>401246.68445999996</v>
      </c>
      <c r="T66" s="62">
        <f>T67+T70+T71+T72+T73+T74</f>
        <v>211153.8</v>
      </c>
      <c r="U66" s="61">
        <f t="shared" si="39"/>
        <v>190092.88445999997</v>
      </c>
      <c r="V66" s="62">
        <f>V67+V70+V71+V72+V73+V74</f>
        <v>125875.1</v>
      </c>
      <c r="W66" s="62">
        <f>W67+W70+W71+W72+W73+W74</f>
        <v>105535.5</v>
      </c>
      <c r="X66" s="61">
        <f t="shared" si="40"/>
        <v>20339.600000000006</v>
      </c>
      <c r="Y66" s="62">
        <f>Y67+Y70+Y71+Y72+Y73+Y74</f>
        <v>2375114.8833499998</v>
      </c>
      <c r="Z66" s="62">
        <f>Z67+Z70+Z71+Z72+Z73+Z74</f>
        <v>1424187.7000000002</v>
      </c>
      <c r="AA66" s="61">
        <f t="shared" si="41"/>
        <v>950927.1833499996</v>
      </c>
      <c r="AB66" s="64">
        <f t="shared" si="8"/>
        <v>1.1281316219498068</v>
      </c>
    </row>
    <row r="67" spans="1:28" x14ac:dyDescent="0.25">
      <c r="A67" s="52" t="s">
        <v>94</v>
      </c>
      <c r="B67" s="65" t="s">
        <v>95</v>
      </c>
      <c r="C67" s="66">
        <v>1408433.7320000001</v>
      </c>
      <c r="D67" s="67">
        <f>977424.5+35224</f>
        <v>1012648.5</v>
      </c>
      <c r="E67" s="68">
        <f t="shared" si="0"/>
        <v>395785.23200000008</v>
      </c>
      <c r="F67" s="66">
        <f>227686.3+10990.8032</f>
        <v>238677.10319999998</v>
      </c>
      <c r="G67" s="67">
        <f>166378.6+3253.27682</f>
        <v>169631.87682</v>
      </c>
      <c r="H67" s="68">
        <f t="shared" si="35"/>
        <v>69045.226379999978</v>
      </c>
      <c r="I67" s="66">
        <f>227686.3+15512.41858-F67</f>
        <v>4521.6153800000029</v>
      </c>
      <c r="J67" s="67">
        <f>170500.5+5788.4887-G67</f>
        <v>6657.1118799999822</v>
      </c>
      <c r="K67" s="68">
        <f t="shared" si="36"/>
        <v>-2135.4964999999793</v>
      </c>
      <c r="L67" s="66">
        <v>1526200</v>
      </c>
      <c r="M67" s="67">
        <v>1098450</v>
      </c>
      <c r="N67" s="68">
        <f t="shared" si="37"/>
        <v>427750</v>
      </c>
      <c r="O67" s="66">
        <f>1618428.82214</f>
        <v>1618428.8221400001</v>
      </c>
      <c r="P67" s="67">
        <f>1200862.5</f>
        <v>1200862.5</v>
      </c>
      <c r="Q67" s="68">
        <f t="shared" si="38"/>
        <v>417566.32214000006</v>
      </c>
      <c r="R67" s="69">
        <f t="shared" si="42"/>
        <v>1.0550325994477732</v>
      </c>
      <c r="S67" s="66">
        <f>276493.97296</f>
        <v>276493.97295999998</v>
      </c>
      <c r="T67" s="67">
        <f>195254.8</f>
        <v>195254.8</v>
      </c>
      <c r="U67" s="68">
        <f t="shared" si="39"/>
        <v>81239.172959999996</v>
      </c>
      <c r="V67" s="66">
        <v>79014.2</v>
      </c>
      <c r="W67" s="67">
        <v>68412.3</v>
      </c>
      <c r="X67" s="68">
        <f t="shared" si="40"/>
        <v>10601.899999999994</v>
      </c>
      <c r="Y67" s="66">
        <f>O67</f>
        <v>1618428.8221400001</v>
      </c>
      <c r="Z67" s="67">
        <f>P67</f>
        <v>1200862.5</v>
      </c>
      <c r="AA67" s="68">
        <f t="shared" si="41"/>
        <v>417566.32214000006</v>
      </c>
      <c r="AB67" s="69">
        <f t="shared" si="8"/>
        <v>1.0550325994477732</v>
      </c>
    </row>
    <row r="68" spans="1:28" x14ac:dyDescent="0.25">
      <c r="A68" s="52"/>
      <c r="B68" s="65" t="s">
        <v>7</v>
      </c>
      <c r="C68" s="66"/>
      <c r="D68" s="67"/>
      <c r="E68" s="68"/>
      <c r="F68" s="66"/>
      <c r="G68" s="67"/>
      <c r="H68" s="68"/>
      <c r="I68" s="66"/>
      <c r="J68" s="67"/>
      <c r="K68" s="68"/>
      <c r="L68" s="66"/>
      <c r="M68" s="67"/>
      <c r="N68" s="68"/>
      <c r="O68" s="66"/>
      <c r="P68" s="67"/>
      <c r="Q68" s="68"/>
      <c r="R68" s="69"/>
      <c r="S68" s="66"/>
      <c r="T68" s="67"/>
      <c r="U68" s="68"/>
      <c r="V68" s="66"/>
      <c r="W68" s="67"/>
      <c r="X68" s="68"/>
      <c r="Y68" s="66"/>
      <c r="Z68" s="67"/>
      <c r="AA68" s="68"/>
      <c r="AB68" s="69"/>
    </row>
    <row r="69" spans="1:28" ht="25.5" x14ac:dyDescent="0.25">
      <c r="A69" s="52"/>
      <c r="B69" s="65" t="s">
        <v>96</v>
      </c>
      <c r="C69" s="66">
        <v>1370448.0370799999</v>
      </c>
      <c r="D69" s="67">
        <f>954644.9+35224</f>
        <v>989868.9</v>
      </c>
      <c r="E69" s="68">
        <f>C69-D69</f>
        <v>380579.1370799999</v>
      </c>
      <c r="F69" s="66">
        <f>222043.6+10943.40283</f>
        <v>232987.00283000001</v>
      </c>
      <c r="G69" s="67">
        <f>161007.5+3253.27682</f>
        <v>164260.77682</v>
      </c>
      <c r="H69" s="68">
        <f>F69-G69</f>
        <v>68726.226010000013</v>
      </c>
      <c r="I69" s="66">
        <f>222043.6+15390.01531-F69</f>
        <v>4446.6124799999816</v>
      </c>
      <c r="J69" s="67">
        <f>165129.4+5788.4887-G69</f>
        <v>6657.1118799999822</v>
      </c>
      <c r="K69" s="68">
        <f t="shared" si="36"/>
        <v>-2210.4994000000006</v>
      </c>
      <c r="L69" s="66">
        <v>1484618</v>
      </c>
      <c r="M69" s="67">
        <v>1083395</v>
      </c>
      <c r="N69" s="68">
        <f t="shared" si="37"/>
        <v>401223</v>
      </c>
      <c r="O69" s="66">
        <f>1569265.58217</f>
        <v>1569265.5821700001</v>
      </c>
      <c r="P69" s="67">
        <f>1173131.7</f>
        <v>1173131.7</v>
      </c>
      <c r="Q69" s="68">
        <f t="shared" si="38"/>
        <v>396133.88217000011</v>
      </c>
      <c r="R69" s="69">
        <f t="shared" si="42"/>
        <v>1.040871250088337</v>
      </c>
      <c r="S69" s="66">
        <v>270210.88905</v>
      </c>
      <c r="T69" s="67">
        <f>189580.8</f>
        <v>189580.79999999999</v>
      </c>
      <c r="U69" s="68">
        <f t="shared" si="39"/>
        <v>80630.08905000001</v>
      </c>
      <c r="V69" s="66">
        <v>78915.3</v>
      </c>
      <c r="W69" s="67">
        <v>67415.3</v>
      </c>
      <c r="X69" s="68">
        <f t="shared" si="40"/>
        <v>11500</v>
      </c>
      <c r="Y69" s="66">
        <f>O69</f>
        <v>1569265.5821700001</v>
      </c>
      <c r="Z69" s="67">
        <f t="shared" ref="Z69:Z78" si="49">P69</f>
        <v>1173131.7</v>
      </c>
      <c r="AA69" s="68">
        <f t="shared" si="41"/>
        <v>396133.88217000011</v>
      </c>
      <c r="AB69" s="69">
        <f t="shared" si="8"/>
        <v>1.040871250088337</v>
      </c>
    </row>
    <row r="70" spans="1:28" x14ac:dyDescent="0.25">
      <c r="A70" s="52" t="s">
        <v>97</v>
      </c>
      <c r="B70" s="65" t="s">
        <v>98</v>
      </c>
      <c r="C70" s="66">
        <v>27583.084729999999</v>
      </c>
      <c r="D70" s="67">
        <f>26815.5</f>
        <v>26815.5</v>
      </c>
      <c r="E70" s="68">
        <f t="shared" ref="E70:E74" si="50">C70-D70</f>
        <v>767.58472999999867</v>
      </c>
      <c r="F70" s="66">
        <f>4555.4</f>
        <v>4555.3999999999996</v>
      </c>
      <c r="G70" s="67">
        <f>2642.8</f>
        <v>2642.8</v>
      </c>
      <c r="H70" s="68">
        <f t="shared" ref="H70:H78" si="51">F70-G70</f>
        <v>1912.5999999999995</v>
      </c>
      <c r="I70" s="66">
        <f>4555.4-F70</f>
        <v>0</v>
      </c>
      <c r="J70" s="67">
        <f>2642.8-G70</f>
        <v>0</v>
      </c>
      <c r="K70" s="68">
        <f t="shared" si="36"/>
        <v>0</v>
      </c>
      <c r="L70" s="66">
        <v>29236</v>
      </c>
      <c r="M70" s="67">
        <v>28424</v>
      </c>
      <c r="N70" s="68">
        <f t="shared" si="37"/>
        <v>812</v>
      </c>
      <c r="O70" s="66">
        <f>2575.96375</f>
        <v>2575.9637499999999</v>
      </c>
      <c r="P70" s="67">
        <f>2416.1</f>
        <v>2416.1</v>
      </c>
      <c r="Q70" s="68">
        <f t="shared" si="38"/>
        <v>159.86374999999998</v>
      </c>
      <c r="R70" s="69">
        <f t="shared" si="42"/>
        <v>0.20826853864067912</v>
      </c>
      <c r="S70" s="66">
        <v>1228.3847699999999</v>
      </c>
      <c r="T70" s="67">
        <f>1151.6</f>
        <v>1151.5999999999999</v>
      </c>
      <c r="U70" s="68">
        <f t="shared" si="39"/>
        <v>76.78476999999998</v>
      </c>
      <c r="V70" s="66">
        <v>403</v>
      </c>
      <c r="W70" s="67">
        <v>382</v>
      </c>
      <c r="X70" s="68">
        <f t="shared" si="40"/>
        <v>21</v>
      </c>
      <c r="Y70" s="66">
        <f>O70</f>
        <v>2575.9637499999999</v>
      </c>
      <c r="Z70" s="67">
        <f t="shared" si="49"/>
        <v>2416.1</v>
      </c>
      <c r="AA70" s="68">
        <f t="shared" si="41"/>
        <v>159.86374999999998</v>
      </c>
      <c r="AB70" s="69">
        <f t="shared" si="8"/>
        <v>0.20826853864067912</v>
      </c>
    </row>
    <row r="71" spans="1:28" x14ac:dyDescent="0.25">
      <c r="A71" s="52" t="s">
        <v>99</v>
      </c>
      <c r="B71" s="65" t="s">
        <v>100</v>
      </c>
      <c r="C71" s="66">
        <v>17484.964240000001</v>
      </c>
      <c r="D71" s="67"/>
      <c r="E71" s="68">
        <f t="shared" si="50"/>
        <v>17484.964240000001</v>
      </c>
      <c r="F71" s="66">
        <f>4119+216.907</f>
        <v>4335.9070000000002</v>
      </c>
      <c r="G71" s="67">
        <v>0</v>
      </c>
      <c r="H71" s="68">
        <f t="shared" si="51"/>
        <v>4335.9070000000002</v>
      </c>
      <c r="I71" s="66">
        <f>4119+435.457-F71</f>
        <v>218.55000000000018</v>
      </c>
      <c r="J71" s="67">
        <v>0</v>
      </c>
      <c r="K71" s="68">
        <f t="shared" si="36"/>
        <v>218.55000000000018</v>
      </c>
      <c r="L71" s="66">
        <v>17952</v>
      </c>
      <c r="M71" s="67"/>
      <c r="N71" s="68">
        <f t="shared" si="37"/>
        <v>17952</v>
      </c>
      <c r="O71" s="66">
        <f>18283.363</f>
        <v>18283.363000000001</v>
      </c>
      <c r="P71" s="67"/>
      <c r="Q71" s="68">
        <f t="shared" si="38"/>
        <v>18283.363000000001</v>
      </c>
      <c r="R71" s="69">
        <f t="shared" si="42"/>
        <v>1.0456620184657581</v>
      </c>
      <c r="S71" s="66">
        <v>251.36</v>
      </c>
      <c r="T71" s="67"/>
      <c r="U71" s="68">
        <f t="shared" si="39"/>
        <v>251.36</v>
      </c>
      <c r="V71" s="66">
        <v>4712.3</v>
      </c>
      <c r="W71" s="67"/>
      <c r="X71" s="68">
        <f t="shared" si="40"/>
        <v>4712.3</v>
      </c>
      <c r="Y71" s="66">
        <f>O71</f>
        <v>18283.363000000001</v>
      </c>
      <c r="Z71" s="67"/>
      <c r="AA71" s="68">
        <f t="shared" si="41"/>
        <v>18283.363000000001</v>
      </c>
      <c r="AB71" s="69">
        <f t="shared" si="8"/>
        <v>1.0456620184657581</v>
      </c>
    </row>
    <row r="72" spans="1:28" x14ac:dyDescent="0.25">
      <c r="A72" s="52" t="s">
        <v>101</v>
      </c>
      <c r="B72" s="65" t="s">
        <v>102</v>
      </c>
      <c r="C72" s="66"/>
      <c r="D72" s="67"/>
      <c r="E72" s="68">
        <f t="shared" si="50"/>
        <v>0</v>
      </c>
      <c r="F72" s="66"/>
      <c r="G72" s="67"/>
      <c r="H72" s="68">
        <f t="shared" si="51"/>
        <v>0</v>
      </c>
      <c r="I72" s="66"/>
      <c r="J72" s="67"/>
      <c r="K72" s="68">
        <f t="shared" si="36"/>
        <v>0</v>
      </c>
      <c r="L72" s="66"/>
      <c r="M72" s="67"/>
      <c r="N72" s="68">
        <f t="shared" si="37"/>
        <v>0</v>
      </c>
      <c r="O72" s="66"/>
      <c r="P72" s="67"/>
      <c r="Q72" s="68">
        <f t="shared" si="38"/>
        <v>0</v>
      </c>
      <c r="R72" s="69" t="e">
        <f t="shared" si="42"/>
        <v>#DIV/0!</v>
      </c>
      <c r="S72" s="66"/>
      <c r="T72" s="67"/>
      <c r="U72" s="68">
        <f t="shared" si="39"/>
        <v>0</v>
      </c>
      <c r="V72" s="66"/>
      <c r="W72" s="67"/>
      <c r="X72" s="68">
        <f t="shared" si="40"/>
        <v>0</v>
      </c>
      <c r="Y72" s="66"/>
      <c r="Z72" s="67"/>
      <c r="AA72" s="68">
        <f t="shared" si="41"/>
        <v>0</v>
      </c>
      <c r="AB72" s="69" t="e">
        <f t="shared" si="8"/>
        <v>#DIV/0!</v>
      </c>
    </row>
    <row r="73" spans="1:28" ht="25.5" x14ac:dyDescent="0.25">
      <c r="A73" s="52" t="s">
        <v>103</v>
      </c>
      <c r="B73" s="65" t="s">
        <v>104</v>
      </c>
      <c r="C73" s="66">
        <v>2220</v>
      </c>
      <c r="D73" s="67">
        <v>1995</v>
      </c>
      <c r="E73" s="68">
        <f t="shared" si="50"/>
        <v>225</v>
      </c>
      <c r="F73" s="66"/>
      <c r="G73" s="67"/>
      <c r="H73" s="68">
        <f t="shared" si="51"/>
        <v>0</v>
      </c>
      <c r="I73" s="66"/>
      <c r="J73" s="67"/>
      <c r="K73" s="68">
        <f t="shared" si="36"/>
        <v>0</v>
      </c>
      <c r="L73" s="66">
        <v>2226</v>
      </c>
      <c r="M73" s="67">
        <v>2115</v>
      </c>
      <c r="N73" s="68">
        <f t="shared" si="37"/>
        <v>111</v>
      </c>
      <c r="O73" s="66">
        <f>4900+6250</f>
        <v>11150</v>
      </c>
      <c r="P73" s="67">
        <f>4655</f>
        <v>4655</v>
      </c>
      <c r="Q73" s="68">
        <f t="shared" si="38"/>
        <v>6495</v>
      </c>
      <c r="R73" s="69">
        <f t="shared" si="42"/>
        <v>28.866666666666667</v>
      </c>
      <c r="S73" s="66">
        <f>1875</f>
        <v>1875</v>
      </c>
      <c r="T73" s="67"/>
      <c r="U73" s="68">
        <f t="shared" si="39"/>
        <v>1875</v>
      </c>
      <c r="V73" s="66">
        <v>0</v>
      </c>
      <c r="W73" s="67"/>
      <c r="X73" s="68">
        <f t="shared" si="40"/>
        <v>0</v>
      </c>
      <c r="Y73" s="66">
        <f>O73</f>
        <v>11150</v>
      </c>
      <c r="Z73" s="67">
        <f t="shared" si="49"/>
        <v>4655</v>
      </c>
      <c r="AA73" s="68">
        <f t="shared" si="41"/>
        <v>6495</v>
      </c>
      <c r="AB73" s="69">
        <f t="shared" si="8"/>
        <v>28.866666666666667</v>
      </c>
    </row>
    <row r="74" spans="1:28" x14ac:dyDescent="0.25">
      <c r="A74" s="52" t="s">
        <v>210</v>
      </c>
      <c r="B74" s="65" t="s">
        <v>105</v>
      </c>
      <c r="C74" s="66">
        <v>620125.40263999999</v>
      </c>
      <c r="D74" s="67">
        <f>121216.1+70249.88832</f>
        <v>191465.98832</v>
      </c>
      <c r="E74" s="68">
        <f t="shared" si="50"/>
        <v>428659.41431999998</v>
      </c>
      <c r="F74" s="66">
        <f>82403.6+5111.9482</f>
        <v>87515.548200000005</v>
      </c>
      <c r="G74" s="67">
        <f>840.3</f>
        <v>840.3</v>
      </c>
      <c r="H74" s="68">
        <f t="shared" si="51"/>
        <v>86675.248200000002</v>
      </c>
      <c r="I74" s="66">
        <f>82403.6+20753.89443-F74</f>
        <v>15641.946230000001</v>
      </c>
      <c r="J74" s="67">
        <f>840.3-G74</f>
        <v>0</v>
      </c>
      <c r="K74" s="68">
        <f t="shared" si="36"/>
        <v>15641.946230000001</v>
      </c>
      <c r="L74" s="66">
        <v>581797</v>
      </c>
      <c r="M74" s="67">
        <v>146150</v>
      </c>
      <c r="N74" s="68">
        <f t="shared" si="37"/>
        <v>435647</v>
      </c>
      <c r="O74" s="66">
        <f>724676.73446</f>
        <v>724676.73445999995</v>
      </c>
      <c r="P74" s="67">
        <f>216254.1</f>
        <v>216254.1</v>
      </c>
      <c r="Q74" s="68">
        <f t="shared" si="38"/>
        <v>508422.63445999997</v>
      </c>
      <c r="R74" s="69">
        <f t="shared" si="42"/>
        <v>1.1860759789133097</v>
      </c>
      <c r="S74" s="66">
        <v>121397.96673</v>
      </c>
      <c r="T74" s="67">
        <f>14747.4</f>
        <v>14747.4</v>
      </c>
      <c r="U74" s="68">
        <f t="shared" si="39"/>
        <v>106650.56673000001</v>
      </c>
      <c r="V74" s="66">
        <v>41745.599999999999</v>
      </c>
      <c r="W74" s="67">
        <v>36741.199999999997</v>
      </c>
      <c r="X74" s="68">
        <f t="shared" si="40"/>
        <v>5004.4000000000015</v>
      </c>
      <c r="Y74" s="66">
        <f>O74</f>
        <v>724676.73445999995</v>
      </c>
      <c r="Z74" s="67">
        <f t="shared" si="49"/>
        <v>216254.1</v>
      </c>
      <c r="AA74" s="68">
        <f t="shared" si="41"/>
        <v>508422.63445999997</v>
      </c>
      <c r="AB74" s="69">
        <f t="shared" si="8"/>
        <v>1.1860759789133097</v>
      </c>
    </row>
    <row r="75" spans="1:28" x14ac:dyDescent="0.25">
      <c r="A75" s="52"/>
      <c r="B75" s="65" t="s">
        <v>7</v>
      </c>
      <c r="C75" s="66"/>
      <c r="D75" s="67"/>
      <c r="E75" s="68"/>
      <c r="F75" s="66"/>
      <c r="G75" s="67"/>
      <c r="H75" s="68"/>
      <c r="I75" s="66"/>
      <c r="J75" s="67"/>
      <c r="K75" s="68"/>
      <c r="L75" s="66"/>
      <c r="M75" s="67"/>
      <c r="N75" s="68"/>
      <c r="O75" s="66"/>
      <c r="P75" s="67"/>
      <c r="Q75" s="68"/>
      <c r="R75" s="69"/>
      <c r="S75" s="66"/>
      <c r="T75" s="67"/>
      <c r="U75" s="68"/>
      <c r="V75" s="66"/>
      <c r="W75" s="67"/>
      <c r="X75" s="68"/>
      <c r="Y75" s="66"/>
      <c r="Z75" s="67"/>
      <c r="AA75" s="68"/>
      <c r="AB75" s="69"/>
    </row>
    <row r="76" spans="1:28" ht="25.5" x14ac:dyDescent="0.25">
      <c r="A76" s="52"/>
      <c r="B76" s="65" t="s">
        <v>106</v>
      </c>
      <c r="C76" s="66">
        <f>113347.8+13185.41666</f>
        <v>126533.21666000001</v>
      </c>
      <c r="D76" s="67"/>
      <c r="E76" s="68">
        <f t="shared" ref="E76:E78" si="52">C76-D76</f>
        <v>126533.21666000001</v>
      </c>
      <c r="F76" s="66">
        <f>38144.5+3634.99024</f>
        <v>41779.490239999999</v>
      </c>
      <c r="G76" s="67">
        <v>0</v>
      </c>
      <c r="H76" s="68">
        <f t="shared" si="51"/>
        <v>41779.490239999999</v>
      </c>
      <c r="I76" s="66">
        <f>38144.5+4601.11051-F76</f>
        <v>966.12026999999944</v>
      </c>
      <c r="J76" s="67">
        <f>0</f>
        <v>0</v>
      </c>
      <c r="K76" s="68">
        <f t="shared" ref="K76:K78" si="53">I76-J76</f>
        <v>966.12026999999944</v>
      </c>
      <c r="L76" s="66">
        <v>136571</v>
      </c>
      <c r="M76" s="67">
        <v>0</v>
      </c>
      <c r="N76" s="68">
        <f t="shared" ref="N76:N78" si="54">L76-M76</f>
        <v>136571</v>
      </c>
      <c r="O76" s="66">
        <f>152352.1+14209.92714</f>
        <v>166562.02714000002</v>
      </c>
      <c r="P76" s="67"/>
      <c r="Q76" s="68">
        <f t="shared" ref="Q76:Q78" si="55">O76-P76</f>
        <v>166562.02714000002</v>
      </c>
      <c r="R76" s="69">
        <f t="shared" si="42"/>
        <v>1.3163502164618093</v>
      </c>
      <c r="S76" s="66">
        <f>43848.8+7135.23933</f>
        <v>50984.03933</v>
      </c>
      <c r="T76" s="67">
        <v>0</v>
      </c>
      <c r="U76" s="68">
        <f t="shared" ref="U76:U78" si="56">S76-T76</f>
        <v>50984.03933</v>
      </c>
      <c r="V76" s="66">
        <v>15742.3</v>
      </c>
      <c r="W76" s="67">
        <v>0</v>
      </c>
      <c r="X76" s="68">
        <f t="shared" ref="X76:X78" si="57">V76-W76</f>
        <v>15742.3</v>
      </c>
      <c r="Y76" s="66">
        <f>O76</f>
        <v>166562.02714000002</v>
      </c>
      <c r="Z76" s="67"/>
      <c r="AA76" s="68">
        <f t="shared" ref="AA76:AA78" si="58">Y76-Z76</f>
        <v>166562.02714000002</v>
      </c>
      <c r="AB76" s="69">
        <f t="shared" si="8"/>
        <v>1.3163502164618093</v>
      </c>
    </row>
    <row r="77" spans="1:28" ht="25.5" x14ac:dyDescent="0.25">
      <c r="A77" s="52"/>
      <c r="B77" s="65" t="s">
        <v>83</v>
      </c>
      <c r="C77" s="66">
        <f>136670.5+38791.94162</f>
        <v>175462.44162</v>
      </c>
      <c r="D77" s="67">
        <f>38877+34142.8477</f>
        <v>73019.847699999998</v>
      </c>
      <c r="E77" s="68">
        <f t="shared" si="52"/>
        <v>102442.59392</v>
      </c>
      <c r="F77" s="66">
        <f>4363.6+188.02729</f>
        <v>4551.6272900000004</v>
      </c>
      <c r="G77" s="67">
        <f>3</f>
        <v>3</v>
      </c>
      <c r="H77" s="68">
        <f t="shared" si="51"/>
        <v>4548.6272900000004</v>
      </c>
      <c r="I77" s="66">
        <f>4363.6+310.94304-F77</f>
        <v>122.91575000000012</v>
      </c>
      <c r="J77" s="67">
        <f>3-G77</f>
        <v>0</v>
      </c>
      <c r="K77" s="68">
        <f t="shared" si="53"/>
        <v>122.91575000000012</v>
      </c>
      <c r="L77" s="66">
        <v>149664</v>
      </c>
      <c r="M77" s="67">
        <v>81622</v>
      </c>
      <c r="N77" s="68">
        <f t="shared" si="54"/>
        <v>68042</v>
      </c>
      <c r="O77" s="66">
        <f>144671.1+15608.08931</f>
        <v>160279.18931000002</v>
      </c>
      <c r="P77" s="67">
        <f>18480.6</f>
        <v>18480.599999999999</v>
      </c>
      <c r="Q77" s="68">
        <f t="shared" si="55"/>
        <v>141798.58931000001</v>
      </c>
      <c r="R77" s="69">
        <f t="shared" si="42"/>
        <v>1.3841760920338868</v>
      </c>
      <c r="S77" s="66">
        <f>21073+413.68721</f>
        <v>21486.68721</v>
      </c>
      <c r="T77" s="67">
        <f>227.6</f>
        <v>227.6</v>
      </c>
      <c r="U77" s="68">
        <f t="shared" si="56"/>
        <v>21259.087210000002</v>
      </c>
      <c r="V77" s="66">
        <v>6745.9</v>
      </c>
      <c r="W77" s="67">
        <v>68.7</v>
      </c>
      <c r="X77" s="68">
        <f t="shared" si="57"/>
        <v>6677.2</v>
      </c>
      <c r="Y77" s="66">
        <f>O77</f>
        <v>160279.18931000002</v>
      </c>
      <c r="Z77" s="67">
        <f t="shared" si="49"/>
        <v>18480.599999999999</v>
      </c>
      <c r="AA77" s="68">
        <f t="shared" si="58"/>
        <v>141798.58931000001</v>
      </c>
      <c r="AB77" s="69">
        <f t="shared" si="8"/>
        <v>1.3841760920338868</v>
      </c>
    </row>
    <row r="78" spans="1:28" ht="25.5" x14ac:dyDescent="0.25">
      <c r="A78" s="52"/>
      <c r="B78" s="65" t="s">
        <v>84</v>
      </c>
      <c r="C78" s="66">
        <f>89885.5+12782.34959</f>
        <v>102667.84959</v>
      </c>
      <c r="D78" s="67">
        <f>3941.7+6286.00248</f>
        <v>10227.70248</v>
      </c>
      <c r="E78" s="68">
        <f t="shared" si="52"/>
        <v>92440.147109999991</v>
      </c>
      <c r="F78" s="66">
        <f>18877.3+417.34292</f>
        <v>19294.642919999998</v>
      </c>
      <c r="G78" s="67">
        <f>42.4</f>
        <v>42.4</v>
      </c>
      <c r="H78" s="68">
        <f t="shared" si="51"/>
        <v>19252.242919999997</v>
      </c>
      <c r="I78" s="66">
        <f>18877.3+417.34292-F78</f>
        <v>0</v>
      </c>
      <c r="J78" s="67">
        <f>42.4-G78</f>
        <v>0</v>
      </c>
      <c r="K78" s="68">
        <f t="shared" si="53"/>
        <v>0</v>
      </c>
      <c r="L78" s="66">
        <v>95279</v>
      </c>
      <c r="M78" s="67">
        <v>10600</v>
      </c>
      <c r="N78" s="68">
        <f t="shared" si="54"/>
        <v>84679</v>
      </c>
      <c r="O78" s="66">
        <f>97314.4+11056.93265</f>
        <v>108371.33265</v>
      </c>
      <c r="P78" s="67">
        <f>82245.4</f>
        <v>82245.399999999994</v>
      </c>
      <c r="Q78" s="68">
        <f t="shared" si="55"/>
        <v>26125.932650000002</v>
      </c>
      <c r="R78" s="69">
        <f t="shared" si="42"/>
        <v>0.2826253902312727</v>
      </c>
      <c r="S78" s="66">
        <f>3257.5+6443.26553</f>
        <v>9700.7655300000006</v>
      </c>
      <c r="T78" s="67">
        <f>2080.5</f>
        <v>2080.5</v>
      </c>
      <c r="U78" s="68">
        <f t="shared" si="56"/>
        <v>7620.2655300000006</v>
      </c>
      <c r="V78" s="66">
        <v>11415.3</v>
      </c>
      <c r="W78" s="67">
        <v>7412.3</v>
      </c>
      <c r="X78" s="68">
        <f t="shared" si="57"/>
        <v>4002.9999999999991</v>
      </c>
      <c r="Y78" s="66">
        <f>O78</f>
        <v>108371.33265</v>
      </c>
      <c r="Z78" s="67">
        <f t="shared" si="49"/>
        <v>82245.399999999994</v>
      </c>
      <c r="AA78" s="68">
        <f t="shared" si="58"/>
        <v>26125.932650000002</v>
      </c>
      <c r="AB78" s="69">
        <f t="shared" si="8"/>
        <v>0.2826253902312727</v>
      </c>
    </row>
    <row r="79" spans="1:28" ht="25.5" x14ac:dyDescent="0.25">
      <c r="A79" s="24" t="s">
        <v>107</v>
      </c>
      <c r="B79" s="32" t="s">
        <v>108</v>
      </c>
      <c r="C79" s="26">
        <v>103.36121</v>
      </c>
      <c r="D79" s="70"/>
      <c r="E79" s="39">
        <f t="shared" si="0"/>
        <v>103.36121</v>
      </c>
      <c r="F79" s="26"/>
      <c r="G79" s="70"/>
      <c r="H79" s="39">
        <f t="shared" si="35"/>
        <v>0</v>
      </c>
      <c r="I79" s="26">
        <v>0</v>
      </c>
      <c r="J79" s="70"/>
      <c r="K79" s="39">
        <f t="shared" si="36"/>
        <v>0</v>
      </c>
      <c r="L79" s="26">
        <v>225.3</v>
      </c>
      <c r="M79" s="70"/>
      <c r="N79" s="39">
        <f t="shared" si="37"/>
        <v>225.3</v>
      </c>
      <c r="O79" s="26">
        <v>225.3</v>
      </c>
      <c r="P79" s="70"/>
      <c r="Q79" s="39">
        <f t="shared" si="38"/>
        <v>225.3</v>
      </c>
      <c r="R79" s="51">
        <f>Q79/E79</f>
        <v>2.1797345445162648</v>
      </c>
      <c r="S79" s="26">
        <v>0</v>
      </c>
      <c r="T79" s="70"/>
      <c r="U79" s="39">
        <f t="shared" si="39"/>
        <v>0</v>
      </c>
      <c r="V79" s="26">
        <v>0</v>
      </c>
      <c r="W79" s="70"/>
      <c r="X79" s="39">
        <f t="shared" si="40"/>
        <v>0</v>
      </c>
      <c r="Y79" s="26">
        <f>O79</f>
        <v>225.3</v>
      </c>
      <c r="Z79" s="70">
        <f>P79</f>
        <v>0</v>
      </c>
      <c r="AA79" s="39">
        <f t="shared" si="41"/>
        <v>225.3</v>
      </c>
      <c r="AB79" s="51">
        <f t="shared" si="8"/>
        <v>2.1797345445162648</v>
      </c>
    </row>
    <row r="80" spans="1:28" ht="25.5" x14ac:dyDescent="0.25">
      <c r="A80" s="24" t="s">
        <v>109</v>
      </c>
      <c r="B80" s="32" t="s">
        <v>110</v>
      </c>
      <c r="C80" s="26">
        <f>C82+C83+C84+C85+659.2</f>
        <v>18038.02967</v>
      </c>
      <c r="D80" s="26">
        <f>D82+D83+D84+D85</f>
        <v>3321.84989</v>
      </c>
      <c r="E80" s="39">
        <f t="shared" si="0"/>
        <v>14716.17978</v>
      </c>
      <c r="F80" s="26">
        <f>F82+F83+F84+F85</f>
        <v>101.39713</v>
      </c>
      <c r="G80" s="26">
        <f>G82+G83+G84+G85</f>
        <v>0</v>
      </c>
      <c r="H80" s="39">
        <f t="shared" si="35"/>
        <v>101.39713</v>
      </c>
      <c r="I80" s="26">
        <f>I82+I83+I84+I85</f>
        <v>643.72256000000004</v>
      </c>
      <c r="J80" s="59">
        <f>J82+J83+J84</f>
        <v>600.21</v>
      </c>
      <c r="K80" s="39">
        <f t="shared" si="36"/>
        <v>43.512560000000008</v>
      </c>
      <c r="L80" s="26">
        <f>L82+L83+L84+L85</f>
        <v>24238.799999999999</v>
      </c>
      <c r="M80" s="26">
        <f>M82+M83+M84+M85</f>
        <v>4031.1</v>
      </c>
      <c r="N80" s="39">
        <f t="shared" si="37"/>
        <v>20207.7</v>
      </c>
      <c r="O80" s="26">
        <f>O82+O83+O84+O85</f>
        <v>23814.899999999998</v>
      </c>
      <c r="P80" s="26">
        <f>P82+P83+P84+P85</f>
        <v>4031.1</v>
      </c>
      <c r="Q80" s="39">
        <f t="shared" si="38"/>
        <v>19783.8</v>
      </c>
      <c r="R80" s="51">
        <f t="shared" ref="R80:R103" si="59">Q80/E80</f>
        <v>1.3443570475326172</v>
      </c>
      <c r="S80" s="26">
        <f>S82+S83+S84+S85</f>
        <v>316.33210000000003</v>
      </c>
      <c r="T80" s="26">
        <f>T82+T83+T84+T85</f>
        <v>0</v>
      </c>
      <c r="U80" s="39">
        <f t="shared" si="39"/>
        <v>316.33210000000003</v>
      </c>
      <c r="V80" s="26">
        <f>V82+V84+V83+V85</f>
        <v>850</v>
      </c>
      <c r="W80" s="26">
        <f>W82+W84+W83+W85</f>
        <v>0</v>
      </c>
      <c r="X80" s="39">
        <f t="shared" si="40"/>
        <v>850</v>
      </c>
      <c r="Y80" s="26">
        <f>24010-280</f>
        <v>23730</v>
      </c>
      <c r="Z80" s="70">
        <f>P80</f>
        <v>4031.1</v>
      </c>
      <c r="AA80" s="39">
        <f t="shared" si="41"/>
        <v>19698.900000000001</v>
      </c>
      <c r="AB80" s="51">
        <f t="shared" si="8"/>
        <v>1.3385878872431118</v>
      </c>
    </row>
    <row r="81" spans="1:28" x14ac:dyDescent="0.25">
      <c r="A81" s="24"/>
      <c r="B81" s="32" t="s">
        <v>17</v>
      </c>
      <c r="C81" s="26"/>
      <c r="D81" s="59"/>
      <c r="E81" s="39"/>
      <c r="F81" s="26"/>
      <c r="G81" s="59"/>
      <c r="H81" s="39"/>
      <c r="I81" s="26"/>
      <c r="J81" s="59"/>
      <c r="K81" s="39"/>
      <c r="L81" s="26"/>
      <c r="M81" s="59">
        <v>74.2</v>
      </c>
      <c r="N81" s="39"/>
      <c r="O81" s="26"/>
      <c r="P81" s="59"/>
      <c r="Q81" s="39"/>
      <c r="R81" s="51"/>
      <c r="S81" s="26"/>
      <c r="T81" s="59"/>
      <c r="U81" s="39"/>
      <c r="V81" s="26"/>
      <c r="W81" s="59"/>
      <c r="X81" s="39"/>
      <c r="Y81" s="26"/>
      <c r="Z81" s="70"/>
      <c r="AA81" s="39"/>
      <c r="AB81" s="51"/>
    </row>
    <row r="82" spans="1:28" ht="76.5" x14ac:dyDescent="0.25">
      <c r="A82" s="24"/>
      <c r="B82" s="32" t="s">
        <v>111</v>
      </c>
      <c r="C82" s="26">
        <f>34239.59764-C101</f>
        <v>14794.12025</v>
      </c>
      <c r="D82" s="59">
        <f>1567.5-D101</f>
        <v>1567.5</v>
      </c>
      <c r="E82" s="39">
        <f t="shared" si="0"/>
        <v>13226.62025</v>
      </c>
      <c r="F82" s="26">
        <v>0</v>
      </c>
      <c r="G82" s="59"/>
      <c r="H82" s="39">
        <f t="shared" si="35"/>
        <v>0</v>
      </c>
      <c r="I82" s="26">
        <f>0-F82</f>
        <v>0</v>
      </c>
      <c r="J82" s="59"/>
      <c r="K82" s="39">
        <f t="shared" si="36"/>
        <v>0</v>
      </c>
      <c r="L82" s="26">
        <v>174.2</v>
      </c>
      <c r="M82" s="59">
        <v>74.2</v>
      </c>
      <c r="N82" s="39">
        <f t="shared" si="37"/>
        <v>99.999999999999986</v>
      </c>
      <c r="O82" s="26">
        <f>174.2</f>
        <v>174.2</v>
      </c>
      <c r="P82" s="59">
        <v>74.2</v>
      </c>
      <c r="Q82" s="39">
        <f t="shared" si="38"/>
        <v>99.999999999999986</v>
      </c>
      <c r="R82" s="51">
        <f t="shared" si="59"/>
        <v>7.5605104032528628E-3</v>
      </c>
      <c r="S82" s="26">
        <f>0</f>
        <v>0</v>
      </c>
      <c r="T82" s="59">
        <f>0</f>
        <v>0</v>
      </c>
      <c r="U82" s="39">
        <f t="shared" si="39"/>
        <v>0</v>
      </c>
      <c r="V82" s="26">
        <v>0</v>
      </c>
      <c r="W82" s="59"/>
      <c r="X82" s="39">
        <f t="shared" si="40"/>
        <v>0</v>
      </c>
      <c r="Y82" s="26">
        <f>O82</f>
        <v>174.2</v>
      </c>
      <c r="Z82" s="70">
        <f>P82</f>
        <v>74.2</v>
      </c>
      <c r="AA82" s="39">
        <f t="shared" si="41"/>
        <v>99.999999999999986</v>
      </c>
      <c r="AB82" s="51">
        <f t="shared" si="8"/>
        <v>7.5605104032528628E-3</v>
      </c>
    </row>
    <row r="83" spans="1:28" ht="25.5" x14ac:dyDescent="0.25">
      <c r="A83" s="24"/>
      <c r="B83" s="32" t="s">
        <v>112</v>
      </c>
      <c r="C83" s="26">
        <f>475.05475-C102</f>
        <v>325.05475000000001</v>
      </c>
      <c r="D83" s="59">
        <f>0</f>
        <v>0</v>
      </c>
      <c r="E83" s="39">
        <f t="shared" si="0"/>
        <v>325.05475000000001</v>
      </c>
      <c r="F83" s="26">
        <v>29.174600000000002</v>
      </c>
      <c r="G83" s="59"/>
      <c r="H83" s="39">
        <f t="shared" si="35"/>
        <v>29.174600000000002</v>
      </c>
      <c r="I83" s="26">
        <f>72.68716-F83</f>
        <v>43.512560000000008</v>
      </c>
      <c r="J83" s="59"/>
      <c r="K83" s="39">
        <f t="shared" si="36"/>
        <v>43.512560000000008</v>
      </c>
      <c r="L83" s="26"/>
      <c r="M83" s="59"/>
      <c r="N83" s="39">
        <f t="shared" si="37"/>
        <v>0</v>
      </c>
      <c r="O83" s="26">
        <v>37</v>
      </c>
      <c r="P83" s="59"/>
      <c r="Q83" s="39">
        <f t="shared" si="38"/>
        <v>37</v>
      </c>
      <c r="R83" s="51">
        <f t="shared" si="59"/>
        <v>0.11382697837825781</v>
      </c>
      <c r="S83" s="26">
        <v>17.832100000000001</v>
      </c>
      <c r="T83" s="59"/>
      <c r="U83" s="39">
        <f t="shared" si="39"/>
        <v>17.832100000000001</v>
      </c>
      <c r="V83" s="26">
        <v>0</v>
      </c>
      <c r="W83" s="59"/>
      <c r="X83" s="39">
        <f t="shared" si="40"/>
        <v>0</v>
      </c>
      <c r="Y83" s="26">
        <f>O83+150</f>
        <v>187</v>
      </c>
      <c r="Z83" s="70"/>
      <c r="AA83" s="39">
        <f t="shared" si="41"/>
        <v>187</v>
      </c>
      <c r="AB83" s="51">
        <f t="shared" si="8"/>
        <v>0.57528770153335707</v>
      </c>
    </row>
    <row r="84" spans="1:28" ht="25.5" x14ac:dyDescent="0.25">
      <c r="A84" s="24"/>
      <c r="B84" s="32" t="s">
        <v>113</v>
      </c>
      <c r="C84" s="26">
        <f>2849.35958-C103</f>
        <v>2259.6546699999999</v>
      </c>
      <c r="D84" s="59">
        <f>1754.34989-D103</f>
        <v>1754.34989</v>
      </c>
      <c r="E84" s="39">
        <f t="shared" si="0"/>
        <v>505.30477999999994</v>
      </c>
      <c r="F84" s="26">
        <v>72.222530000000006</v>
      </c>
      <c r="G84" s="59"/>
      <c r="H84" s="39">
        <f t="shared" si="35"/>
        <v>72.222530000000006</v>
      </c>
      <c r="I84" s="26">
        <f>672.43253-F84</f>
        <v>600.21</v>
      </c>
      <c r="J84" s="59">
        <f>600.21-G84</f>
        <v>600.21</v>
      </c>
      <c r="K84" s="39">
        <f t="shared" si="36"/>
        <v>0</v>
      </c>
      <c r="L84" s="26">
        <v>4064.6</v>
      </c>
      <c r="M84" s="59">
        <v>3956.9</v>
      </c>
      <c r="N84" s="39">
        <f t="shared" si="37"/>
        <v>107.69999999999982</v>
      </c>
      <c r="O84" s="26">
        <f>4989.42379-O103</f>
        <v>4326.0999999999995</v>
      </c>
      <c r="P84" s="59">
        <v>3956.9</v>
      </c>
      <c r="Q84" s="39">
        <f t="shared" si="38"/>
        <v>369.19999999999936</v>
      </c>
      <c r="R84" s="51">
        <f t="shared" si="59"/>
        <v>0.73064814467023131</v>
      </c>
      <c r="S84" s="26">
        <f>301.5888-S103</f>
        <v>298.5</v>
      </c>
      <c r="T84" s="59">
        <v>0</v>
      </c>
      <c r="U84" s="39">
        <f t="shared" si="39"/>
        <v>298.5</v>
      </c>
      <c r="V84" s="26">
        <v>850</v>
      </c>
      <c r="W84" s="59">
        <v>0</v>
      </c>
      <c r="X84" s="39">
        <f t="shared" si="40"/>
        <v>850</v>
      </c>
      <c r="Y84" s="26">
        <v>4092</v>
      </c>
      <c r="Z84" s="70">
        <f>P84</f>
        <v>3956.9</v>
      </c>
      <c r="AA84" s="39">
        <f t="shared" si="41"/>
        <v>135.09999999999991</v>
      </c>
      <c r="AB84" s="51">
        <f t="shared" si="8"/>
        <v>0.26736339205023929</v>
      </c>
    </row>
    <row r="85" spans="1:28" x14ac:dyDescent="0.25">
      <c r="A85" s="24"/>
      <c r="B85" s="32" t="s">
        <v>114</v>
      </c>
      <c r="C85" s="26"/>
      <c r="D85" s="59"/>
      <c r="E85" s="39">
        <f t="shared" si="0"/>
        <v>0</v>
      </c>
      <c r="F85" s="26"/>
      <c r="G85" s="59"/>
      <c r="H85" s="39">
        <f t="shared" si="35"/>
        <v>0</v>
      </c>
      <c r="I85" s="26"/>
      <c r="J85" s="59"/>
      <c r="K85" s="39">
        <f t="shared" si="36"/>
        <v>0</v>
      </c>
      <c r="L85" s="26">
        <v>20000</v>
      </c>
      <c r="M85" s="59"/>
      <c r="N85" s="39">
        <f t="shared" si="37"/>
        <v>20000</v>
      </c>
      <c r="O85" s="26">
        <v>19277.599999999999</v>
      </c>
      <c r="P85" s="59"/>
      <c r="Q85" s="39">
        <f t="shared" si="38"/>
        <v>19277.599999999999</v>
      </c>
      <c r="R85" s="51" t="e">
        <f t="shared" si="59"/>
        <v>#DIV/0!</v>
      </c>
      <c r="S85" s="26">
        <v>0</v>
      </c>
      <c r="T85" s="59"/>
      <c r="U85" s="39">
        <f t="shared" si="39"/>
        <v>0</v>
      </c>
      <c r="V85" s="26">
        <v>0</v>
      </c>
      <c r="W85" s="59"/>
      <c r="X85" s="39">
        <f t="shared" si="40"/>
        <v>0</v>
      </c>
      <c r="Y85" s="26">
        <f>O85</f>
        <v>19277.599999999999</v>
      </c>
      <c r="Z85" s="70"/>
      <c r="AA85" s="39">
        <f t="shared" si="41"/>
        <v>19277.599999999999</v>
      </c>
      <c r="AB85" s="51" t="e">
        <f t="shared" si="8"/>
        <v>#DIV/0!</v>
      </c>
    </row>
    <row r="86" spans="1:28" x14ac:dyDescent="0.25">
      <c r="A86" s="15" t="s">
        <v>115</v>
      </c>
      <c r="B86" s="71" t="s">
        <v>116</v>
      </c>
      <c r="C86" s="50">
        <f>C87+C91+C96+C97+C98+C99</f>
        <v>453424.80467999994</v>
      </c>
      <c r="D86" s="50">
        <f>D87+D91+D96+D97+D98+D99</f>
        <v>226478.71205999999</v>
      </c>
      <c r="E86" s="39">
        <f t="shared" si="0"/>
        <v>226946.09261999995</v>
      </c>
      <c r="F86" s="50">
        <f>F87+F91+F96+F97+F98+F99</f>
        <v>25797.800190000002</v>
      </c>
      <c r="G86" s="50">
        <f>G87+G91+G96+G97+G98+G99</f>
        <v>319.37450000000001</v>
      </c>
      <c r="H86" s="39">
        <f t="shared" si="35"/>
        <v>25478.42569</v>
      </c>
      <c r="I86" s="50">
        <f>I87+I91+I96+I97+I98+I99</f>
        <v>10787.793380000003</v>
      </c>
      <c r="J86" s="50">
        <f>J87+J91+J96+J97+J98+J99</f>
        <v>301.40599999999995</v>
      </c>
      <c r="K86" s="39">
        <f t="shared" si="36"/>
        <v>10486.387380000004</v>
      </c>
      <c r="L86" s="50">
        <f>L87+L91+L96+L97+L98+L99</f>
        <v>259155.31667000003</v>
      </c>
      <c r="M86" s="50">
        <f>M87+M91+M96+M97+M98+M99</f>
        <v>52104.466699999997</v>
      </c>
      <c r="N86" s="39">
        <f t="shared" si="37"/>
        <v>207050.84997000004</v>
      </c>
      <c r="O86" s="50">
        <f>O87+O91+O96+O97+O98+O99</f>
        <v>305954.28579999995</v>
      </c>
      <c r="P86" s="50">
        <f>P87+P91+P96+P97+P98+P99</f>
        <v>83806.544070000004</v>
      </c>
      <c r="Q86" s="39">
        <f t="shared" si="38"/>
        <v>222147.74172999995</v>
      </c>
      <c r="R86" s="51">
        <f t="shared" si="59"/>
        <v>0.97885686933577487</v>
      </c>
      <c r="S86" s="50">
        <f>S87+S91+S96+S97+S98+S99</f>
        <v>27590.029790000001</v>
      </c>
      <c r="T86" s="50">
        <f>T87+T91+T96+T97+T98+T99</f>
        <v>6115.9739</v>
      </c>
      <c r="U86" s="39">
        <f t="shared" si="39"/>
        <v>21474.05589</v>
      </c>
      <c r="V86" s="50">
        <f>V87+V91+V96+V97+V98+V99</f>
        <v>9821.1</v>
      </c>
      <c r="W86" s="50">
        <f>W87+W91+W96+W97+W98+W99</f>
        <v>0</v>
      </c>
      <c r="X86" s="39">
        <f t="shared" si="40"/>
        <v>9821.1</v>
      </c>
      <c r="Y86" s="50">
        <f>Y87+Y91+Y96+Y97+Y98+Y99</f>
        <v>301440.24804999999</v>
      </c>
      <c r="Z86" s="50">
        <f>Z87+Z91+Z96+Z97+Z98+Z99</f>
        <v>77845.668170000004</v>
      </c>
      <c r="AA86" s="39">
        <f t="shared" si="41"/>
        <v>223594.57987999998</v>
      </c>
      <c r="AB86" s="51">
        <f t="shared" si="8"/>
        <v>0.98523211965754454</v>
      </c>
    </row>
    <row r="87" spans="1:28" ht="38.25" x14ac:dyDescent="0.25">
      <c r="A87" s="24" t="s">
        <v>117</v>
      </c>
      <c r="B87" s="32" t="s">
        <v>118</v>
      </c>
      <c r="C87" s="26">
        <f>C89+C90+96.84685+79.1169+226.52726+812.75543</f>
        <v>73344.141279999996</v>
      </c>
      <c r="D87" s="26">
        <f>D89+D90</f>
        <v>0</v>
      </c>
      <c r="E87" s="39">
        <f>C87-D87</f>
        <v>73344.141279999996</v>
      </c>
      <c r="F87" s="26">
        <f>11926.04427</f>
        <v>11926.04427</v>
      </c>
      <c r="G87" s="26">
        <f>G89+G90</f>
        <v>0</v>
      </c>
      <c r="H87" s="39">
        <f t="shared" si="35"/>
        <v>11926.04427</v>
      </c>
      <c r="I87" s="26">
        <f>18474.30963-F87</f>
        <v>6548.2653599999994</v>
      </c>
      <c r="J87" s="26">
        <f>J89+J90</f>
        <v>0</v>
      </c>
      <c r="K87" s="39">
        <f t="shared" si="36"/>
        <v>6548.2653599999994</v>
      </c>
      <c r="L87" s="26">
        <f>L89+L90+1597.6</f>
        <v>81416.700000000012</v>
      </c>
      <c r="M87" s="59">
        <f>M89+M90</f>
        <v>0</v>
      </c>
      <c r="N87" s="39">
        <f t="shared" si="37"/>
        <v>81416.700000000012</v>
      </c>
      <c r="O87" s="26">
        <f>O89+O90+352.6+975+165+105</f>
        <v>80416.700000000012</v>
      </c>
      <c r="P87" s="59"/>
      <c r="Q87" s="39">
        <f t="shared" si="38"/>
        <v>80416.700000000012</v>
      </c>
      <c r="R87" s="51">
        <f t="shared" si="59"/>
        <v>1.0964297706206645</v>
      </c>
      <c r="S87" s="26">
        <f>S89+S90+0+55.157+22.129</f>
        <v>14254.97928</v>
      </c>
      <c r="T87" s="59"/>
      <c r="U87" s="39">
        <f t="shared" si="39"/>
        <v>14254.97928</v>
      </c>
      <c r="V87" s="26">
        <f>V89+V90+48.7</f>
        <v>6458.6</v>
      </c>
      <c r="W87" s="26">
        <f>W89+W90</f>
        <v>0</v>
      </c>
      <c r="X87" s="39">
        <f t="shared" si="40"/>
        <v>6458.6</v>
      </c>
      <c r="Y87" s="26">
        <f>O87</f>
        <v>80416.700000000012</v>
      </c>
      <c r="Z87" s="59"/>
      <c r="AA87" s="39">
        <f t="shared" si="41"/>
        <v>80416.700000000012</v>
      </c>
      <c r="AB87" s="51">
        <f t="shared" si="8"/>
        <v>1.0964297706206645</v>
      </c>
    </row>
    <row r="88" spans="1:28" x14ac:dyDescent="0.25">
      <c r="A88" s="24"/>
      <c r="B88" s="32" t="s">
        <v>17</v>
      </c>
      <c r="C88" s="26"/>
      <c r="D88" s="59"/>
      <c r="E88" s="39"/>
      <c r="F88" s="26"/>
      <c r="G88" s="59"/>
      <c r="H88" s="39"/>
      <c r="I88" s="26"/>
      <c r="J88" s="59"/>
      <c r="K88" s="39"/>
      <c r="L88" s="26"/>
      <c r="M88" s="59"/>
      <c r="N88" s="39"/>
      <c r="O88" s="26"/>
      <c r="P88" s="59"/>
      <c r="Q88" s="39"/>
      <c r="R88" s="51"/>
      <c r="S88" s="26"/>
      <c r="T88" s="59"/>
      <c r="U88" s="39"/>
      <c r="V88" s="26"/>
      <c r="W88" s="59"/>
      <c r="X88" s="39"/>
      <c r="Y88" s="26"/>
      <c r="Z88" s="59"/>
      <c r="AA88" s="39"/>
      <c r="AB88" s="51"/>
    </row>
    <row r="89" spans="1:28" ht="25.5" x14ac:dyDescent="0.25">
      <c r="A89" s="24"/>
      <c r="B89" s="32" t="s">
        <v>119</v>
      </c>
      <c r="C89" s="26">
        <f>5882.59945+7914.98347+8341.43952+33351.95902</f>
        <v>55490.981460000003</v>
      </c>
      <c r="D89" s="59"/>
      <c r="E89" s="39">
        <f>C89-D89</f>
        <v>55490.981460000003</v>
      </c>
      <c r="F89" s="26">
        <f>9474.18969</f>
        <v>9474.1896899999992</v>
      </c>
      <c r="G89" s="59"/>
      <c r="H89" s="39">
        <f>F89-G89</f>
        <v>9474.1896899999992</v>
      </c>
      <c r="I89" s="26">
        <f>14691.5827-F89</f>
        <v>5217.3930100000016</v>
      </c>
      <c r="J89" s="59"/>
      <c r="K89" s="39">
        <f t="shared" si="36"/>
        <v>5217.3930100000016</v>
      </c>
      <c r="L89" s="26">
        <v>61316.51</v>
      </c>
      <c r="M89" s="59"/>
      <c r="N89" s="39">
        <f t="shared" si="37"/>
        <v>61316.51</v>
      </c>
      <c r="O89" s="26">
        <f>35476.5+9338.71+6835.3+8666</f>
        <v>60316.51</v>
      </c>
      <c r="P89" s="59"/>
      <c r="Q89" s="39">
        <f t="shared" si="38"/>
        <v>60316.51</v>
      </c>
      <c r="R89" s="51">
        <f t="shared" si="59"/>
        <v>1.0869605909471689</v>
      </c>
      <c r="S89" s="26">
        <f>6419.23129+2269.78189+1002.08883+1669.85714</f>
        <v>11360.959150000001</v>
      </c>
      <c r="T89" s="59"/>
      <c r="U89" s="39">
        <f t="shared" si="39"/>
        <v>11360.959150000001</v>
      </c>
      <c r="V89" s="26">
        <v>4923.1000000000004</v>
      </c>
      <c r="W89" s="59"/>
      <c r="X89" s="39">
        <f t="shared" si="40"/>
        <v>4923.1000000000004</v>
      </c>
      <c r="Y89" s="26">
        <f>O89</f>
        <v>60316.51</v>
      </c>
      <c r="Z89" s="59"/>
      <c r="AA89" s="39">
        <f t="shared" si="41"/>
        <v>60316.51</v>
      </c>
      <c r="AB89" s="51">
        <f t="shared" si="8"/>
        <v>1.0869605909471689</v>
      </c>
    </row>
    <row r="90" spans="1:28" ht="25.5" x14ac:dyDescent="0.25">
      <c r="A90" s="24"/>
      <c r="B90" s="32" t="s">
        <v>120</v>
      </c>
      <c r="C90" s="26">
        <f>1762.55291+2351.94651+2512.16484+10011.24912</f>
        <v>16637.913379999998</v>
      </c>
      <c r="D90" s="59"/>
      <c r="E90" s="39">
        <f>C90-D90</f>
        <v>16637.913379999998</v>
      </c>
      <c r="F90" s="26">
        <f>2398.75558</f>
        <v>2398.75558</v>
      </c>
      <c r="G90" s="59"/>
      <c r="H90" s="39">
        <f>F90-G90</f>
        <v>2398.75558</v>
      </c>
      <c r="I90" s="26">
        <f>3609.23394-F90</f>
        <v>1210.4783600000001</v>
      </c>
      <c r="J90" s="59"/>
      <c r="K90" s="39">
        <f t="shared" si="36"/>
        <v>1210.4783600000001</v>
      </c>
      <c r="L90" s="26">
        <v>18502.59</v>
      </c>
      <c r="M90" s="59"/>
      <c r="N90" s="39">
        <f t="shared" si="37"/>
        <v>18502.59</v>
      </c>
      <c r="O90" s="26">
        <f>11015.8+2820.29+2064.3+2602.2</f>
        <v>18502.59</v>
      </c>
      <c r="P90" s="59"/>
      <c r="Q90" s="39">
        <f t="shared" si="38"/>
        <v>18502.59</v>
      </c>
      <c r="R90" s="51">
        <f t="shared" si="59"/>
        <v>1.1120739468593148</v>
      </c>
      <c r="S90" s="26">
        <f>394.18983+261.10567+570.83311+1590.60552</f>
        <v>2816.7341299999998</v>
      </c>
      <c r="T90" s="59"/>
      <c r="U90" s="39">
        <f t="shared" si="39"/>
        <v>2816.7341299999998</v>
      </c>
      <c r="V90" s="26">
        <v>1486.8</v>
      </c>
      <c r="W90" s="59"/>
      <c r="X90" s="39">
        <f t="shared" si="40"/>
        <v>1486.8</v>
      </c>
      <c r="Y90" s="26">
        <f t="shared" ref="Y90" si="60">O90</f>
        <v>18502.59</v>
      </c>
      <c r="Z90" s="59"/>
      <c r="AA90" s="39">
        <f t="shared" si="41"/>
        <v>18502.59</v>
      </c>
      <c r="AB90" s="51">
        <f t="shared" si="8"/>
        <v>1.1120739468593148</v>
      </c>
    </row>
    <row r="91" spans="1:28" ht="25.5" x14ac:dyDescent="0.25">
      <c r="A91" s="24" t="s">
        <v>121</v>
      </c>
      <c r="B91" s="32" t="s">
        <v>122</v>
      </c>
      <c r="C91" s="26">
        <f>326153.8129+373.963+939.63711+31431.01316</f>
        <v>358898.42616999999</v>
      </c>
      <c r="D91" s="59">
        <v>226478.71205999999</v>
      </c>
      <c r="E91" s="39">
        <f t="shared" si="0"/>
        <v>132419.71411</v>
      </c>
      <c r="F91" s="26">
        <f>4333.16023</f>
        <v>4333.1602300000004</v>
      </c>
      <c r="G91" s="59">
        <f>319.3745</f>
        <v>319.37450000000001</v>
      </c>
      <c r="H91" s="39">
        <f>F91-G91</f>
        <v>4013.7857300000005</v>
      </c>
      <c r="I91" s="26">
        <f>7506.71542-F91</f>
        <v>3173.55519</v>
      </c>
      <c r="J91" s="59">
        <f>620.7805-G91</f>
        <v>301.40599999999995</v>
      </c>
      <c r="K91" s="39">
        <f t="shared" si="36"/>
        <v>2872.1491900000001</v>
      </c>
      <c r="L91" s="26">
        <v>162724.91667000001</v>
      </c>
      <c r="M91" s="59">
        <v>52104.466699999997</v>
      </c>
      <c r="N91" s="39">
        <f t="shared" si="37"/>
        <v>110620.44997000002</v>
      </c>
      <c r="O91" s="26">
        <f>22418.47621+1833.9+190746.8048+527.8</f>
        <v>215526.98100999999</v>
      </c>
      <c r="P91" s="59">
        <v>83806.544070000004</v>
      </c>
      <c r="Q91" s="39">
        <f t="shared" si="38"/>
        <v>131720.43693999999</v>
      </c>
      <c r="R91" s="51">
        <f t="shared" si="59"/>
        <v>0.99471923667333151</v>
      </c>
      <c r="S91" s="26">
        <f>5889.11252+259.23756+7070.19663+113.415</f>
        <v>13331.96171</v>
      </c>
      <c r="T91" s="59">
        <v>6115.9739</v>
      </c>
      <c r="U91" s="39">
        <f t="shared" si="39"/>
        <v>7215.9878099999996</v>
      </c>
      <c r="V91" s="26">
        <v>3348.5</v>
      </c>
      <c r="W91" s="59"/>
      <c r="X91" s="39">
        <f t="shared" si="40"/>
        <v>3348.5</v>
      </c>
      <c r="Y91" s="26">
        <v>206009.62426000001</v>
      </c>
      <c r="Z91" s="59">
        <v>77845.668170000004</v>
      </c>
      <c r="AA91" s="39">
        <f t="shared" si="41"/>
        <v>128163.95609000001</v>
      </c>
      <c r="AB91" s="51">
        <f t="shared" si="8"/>
        <v>0.96786159788515502</v>
      </c>
    </row>
    <row r="92" spans="1:28" x14ac:dyDescent="0.25">
      <c r="A92" s="52"/>
      <c r="B92" s="32" t="s">
        <v>7</v>
      </c>
      <c r="C92" s="26"/>
      <c r="D92" s="26"/>
      <c r="E92" s="39"/>
      <c r="F92" s="26"/>
      <c r="G92" s="26"/>
      <c r="H92" s="39"/>
      <c r="I92" s="26"/>
      <c r="J92" s="26"/>
      <c r="K92" s="39"/>
      <c r="L92" s="26"/>
      <c r="M92" s="26"/>
      <c r="N92" s="39"/>
      <c r="O92" s="26"/>
      <c r="P92" s="26"/>
      <c r="Q92" s="39"/>
      <c r="R92" s="51"/>
      <c r="S92" s="26"/>
      <c r="T92" s="26"/>
      <c r="U92" s="39"/>
      <c r="V92" s="26"/>
      <c r="W92" s="26"/>
      <c r="X92" s="39"/>
      <c r="Y92" s="26"/>
      <c r="Z92" s="59"/>
      <c r="AA92" s="39"/>
      <c r="AB92" s="51"/>
    </row>
    <row r="93" spans="1:28" ht="21" customHeight="1" x14ac:dyDescent="0.25">
      <c r="A93" s="24"/>
      <c r="B93" s="32" t="s">
        <v>106</v>
      </c>
      <c r="C93" s="26">
        <f>1.49894+6058.3827</f>
        <v>6059.8816400000005</v>
      </c>
      <c r="D93" s="59"/>
      <c r="E93" s="39">
        <f t="shared" ref="E93:E95" si="61">C93-D93</f>
        <v>6059.8816400000005</v>
      </c>
      <c r="F93" s="26">
        <v>1343</v>
      </c>
      <c r="G93" s="59">
        <f>0</f>
        <v>0</v>
      </c>
      <c r="H93" s="39">
        <f t="shared" si="35"/>
        <v>1343</v>
      </c>
      <c r="I93" s="26">
        <f>2834.43679-F93</f>
        <v>1491.4367900000002</v>
      </c>
      <c r="J93" s="59"/>
      <c r="K93" s="39">
        <f t="shared" ref="K93:K95" si="62">I93-J93</f>
        <v>1491.4367900000002</v>
      </c>
      <c r="L93" s="26">
        <f>6088</f>
        <v>6088</v>
      </c>
      <c r="M93" s="59"/>
      <c r="N93" s="39">
        <f t="shared" ref="N93:N95" si="63">L93-M93</f>
        <v>6088</v>
      </c>
      <c r="O93" s="26">
        <f>7235.9</f>
        <v>7235.9</v>
      </c>
      <c r="P93" s="59"/>
      <c r="Q93" s="39">
        <f t="shared" ref="Q93:Q95" si="64">O93-P93</f>
        <v>7235.9</v>
      </c>
      <c r="R93" s="51"/>
      <c r="S93" s="26">
        <f>2192.8</f>
        <v>2192.8000000000002</v>
      </c>
      <c r="T93" s="59"/>
      <c r="U93" s="39">
        <f t="shared" ref="U93:U95" si="65">S93-T93</f>
        <v>2192.8000000000002</v>
      </c>
      <c r="V93" s="26">
        <v>1573.1</v>
      </c>
      <c r="W93" s="59"/>
      <c r="X93" s="39">
        <f t="shared" ref="X93:X95" si="66">V93-W93</f>
        <v>1573.1</v>
      </c>
      <c r="Y93" s="26">
        <f>O93+4115.3</f>
        <v>11351.2</v>
      </c>
      <c r="Z93" s="59"/>
      <c r="AA93" s="39">
        <f t="shared" ref="AA93:AA95" si="67">Y93-Z93</f>
        <v>11351.2</v>
      </c>
      <c r="AB93" s="51"/>
    </row>
    <row r="94" spans="1:28" ht="25.5" x14ac:dyDescent="0.25">
      <c r="A94" s="24"/>
      <c r="B94" s="32" t="s">
        <v>83</v>
      </c>
      <c r="C94" s="26">
        <f>195129.38551+6020.49415</f>
        <v>201149.87966000001</v>
      </c>
      <c r="D94" s="59">
        <f>130351.76211</f>
        <v>130351.76211</v>
      </c>
      <c r="E94" s="39">
        <f t="shared" si="61"/>
        <v>70798.11755000001</v>
      </c>
      <c r="F94" s="26">
        <v>768</v>
      </c>
      <c r="G94" s="59">
        <v>0</v>
      </c>
      <c r="H94" s="39">
        <f t="shared" si="35"/>
        <v>768</v>
      </c>
      <c r="I94" s="26">
        <f>751.70206+215.054-F94</f>
        <v>198.75605999999993</v>
      </c>
      <c r="J94" s="59"/>
      <c r="K94" s="39">
        <f t="shared" si="62"/>
        <v>198.75605999999993</v>
      </c>
      <c r="L94" s="26">
        <f>2499</f>
        <v>2499</v>
      </c>
      <c r="M94" s="59"/>
      <c r="N94" s="39">
        <f t="shared" si="63"/>
        <v>2499</v>
      </c>
      <c r="O94" s="26">
        <f>3983.3+109729.7013</f>
        <v>113713.0013</v>
      </c>
      <c r="P94" s="59">
        <v>54231.91057</v>
      </c>
      <c r="Q94" s="39">
        <f t="shared" si="64"/>
        <v>59481.090730000004</v>
      </c>
      <c r="R94" s="51">
        <f t="shared" ref="R94:R95" si="68">Q94/E94</f>
        <v>0.84015073830165699</v>
      </c>
      <c r="S94" s="26">
        <f>928.5+6959.68263</f>
        <v>7888.1826300000002</v>
      </c>
      <c r="T94" s="59">
        <v>6014.8629000000001</v>
      </c>
      <c r="U94" s="39">
        <f t="shared" si="65"/>
        <v>1873.3197300000002</v>
      </c>
      <c r="V94" s="26">
        <v>28</v>
      </c>
      <c r="W94" s="59"/>
      <c r="X94" s="39">
        <f t="shared" si="66"/>
        <v>28</v>
      </c>
      <c r="Y94" s="26">
        <v>123177</v>
      </c>
      <c r="Z94" s="59">
        <v>73959</v>
      </c>
      <c r="AA94" s="39">
        <f t="shared" si="67"/>
        <v>49218</v>
      </c>
      <c r="AB94" s="51">
        <f t="shared" ref="AB94:AB95" si="69">AA94/E94</f>
        <v>0.69518797537576604</v>
      </c>
    </row>
    <row r="95" spans="1:28" ht="25.5" x14ac:dyDescent="0.25">
      <c r="A95" s="24"/>
      <c r="B95" s="32" t="s">
        <v>84</v>
      </c>
      <c r="C95" s="26">
        <f>9443.56402+9671.691</f>
        <v>19115.255020000001</v>
      </c>
      <c r="D95" s="59"/>
      <c r="E95" s="39">
        <f t="shared" si="61"/>
        <v>19115.255020000001</v>
      </c>
      <c r="F95" s="26">
        <v>93</v>
      </c>
      <c r="G95" s="59">
        <v>0</v>
      </c>
      <c r="H95" s="39">
        <f t="shared" si="35"/>
        <v>93</v>
      </c>
      <c r="I95" s="26">
        <f>139.279-F95</f>
        <v>46.278999999999996</v>
      </c>
      <c r="J95" s="59"/>
      <c r="K95" s="39">
        <f t="shared" si="62"/>
        <v>46.278999999999996</v>
      </c>
      <c r="L95" s="26">
        <f>1011</f>
        <v>1011</v>
      </c>
      <c r="M95" s="59"/>
      <c r="N95" s="39">
        <f t="shared" si="63"/>
        <v>1011</v>
      </c>
      <c r="O95" s="26">
        <f>936.4</f>
        <v>936.4</v>
      </c>
      <c r="P95" s="59"/>
      <c r="Q95" s="39">
        <f t="shared" si="64"/>
        <v>936.4</v>
      </c>
      <c r="R95" s="51">
        <f t="shared" si="68"/>
        <v>4.8987052436405318E-2</v>
      </c>
      <c r="S95" s="26">
        <f>450</f>
        <v>450</v>
      </c>
      <c r="T95" s="59"/>
      <c r="U95" s="39">
        <f t="shared" si="65"/>
        <v>450</v>
      </c>
      <c r="V95" s="26">
        <v>114</v>
      </c>
      <c r="W95" s="59"/>
      <c r="X95" s="39">
        <f t="shared" si="66"/>
        <v>114</v>
      </c>
      <c r="Y95" s="26">
        <v>971</v>
      </c>
      <c r="Z95" s="59"/>
      <c r="AA95" s="39">
        <f t="shared" si="67"/>
        <v>971</v>
      </c>
      <c r="AB95" s="51">
        <f t="shared" si="69"/>
        <v>5.0797125070215256E-2</v>
      </c>
    </row>
    <row r="96" spans="1:28" ht="25.5" x14ac:dyDescent="0.25">
      <c r="A96" s="24" t="s">
        <v>123</v>
      </c>
      <c r="B96" s="32" t="s">
        <v>124</v>
      </c>
      <c r="C96" s="26">
        <f>28.0121+969.04283</f>
        <v>997.05493000000001</v>
      </c>
      <c r="D96" s="59"/>
      <c r="E96" s="39">
        <f t="shared" si="0"/>
        <v>997.05493000000001</v>
      </c>
      <c r="F96" s="26">
        <f>244.96236</f>
        <v>244.96235999999999</v>
      </c>
      <c r="G96" s="59">
        <v>0</v>
      </c>
      <c r="H96" s="39">
        <f t="shared" si="35"/>
        <v>244.96235999999999</v>
      </c>
      <c r="I96" s="26">
        <f>456.44069-F96</f>
        <v>211.47833000000003</v>
      </c>
      <c r="J96" s="59"/>
      <c r="K96" s="39">
        <f t="shared" si="36"/>
        <v>211.47833000000003</v>
      </c>
      <c r="L96" s="26">
        <v>122.6</v>
      </c>
      <c r="M96" s="59"/>
      <c r="N96" s="39">
        <f t="shared" si="37"/>
        <v>122.6</v>
      </c>
      <c r="O96" s="26">
        <v>122.6</v>
      </c>
      <c r="P96" s="59"/>
      <c r="Q96" s="39">
        <f t="shared" si="38"/>
        <v>122.6</v>
      </c>
      <c r="R96" s="51">
        <f t="shared" si="59"/>
        <v>0.12296213208634352</v>
      </c>
      <c r="S96" s="26"/>
      <c r="T96" s="59"/>
      <c r="U96" s="39">
        <f t="shared" si="39"/>
        <v>0</v>
      </c>
      <c r="V96" s="26">
        <v>14</v>
      </c>
      <c r="W96" s="59"/>
      <c r="X96" s="39">
        <f t="shared" si="40"/>
        <v>14</v>
      </c>
      <c r="Y96" s="26">
        <f>O96</f>
        <v>122.6</v>
      </c>
      <c r="Z96" s="59"/>
      <c r="AA96" s="39">
        <f t="shared" si="41"/>
        <v>122.6</v>
      </c>
      <c r="AB96" s="51">
        <f t="shared" si="8"/>
        <v>0.12296213208634352</v>
      </c>
    </row>
    <row r="97" spans="1:28" ht="25.5" x14ac:dyDescent="0.25">
      <c r="A97" s="24" t="s">
        <v>125</v>
      </c>
      <c r="B97" s="32" t="s">
        <v>126</v>
      </c>
      <c r="C97" s="26"/>
      <c r="D97" s="59"/>
      <c r="E97" s="39">
        <f t="shared" si="0"/>
        <v>0</v>
      </c>
      <c r="F97" s="26">
        <v>0</v>
      </c>
      <c r="G97" s="59">
        <v>0</v>
      </c>
      <c r="H97" s="39">
        <f t="shared" si="35"/>
        <v>0</v>
      </c>
      <c r="I97" s="26"/>
      <c r="J97" s="59"/>
      <c r="K97" s="39">
        <f t="shared" si="36"/>
        <v>0</v>
      </c>
      <c r="L97" s="26">
        <v>14228.4</v>
      </c>
      <c r="M97" s="59"/>
      <c r="N97" s="39">
        <f t="shared" si="37"/>
        <v>14228.4</v>
      </c>
      <c r="O97" s="26">
        <v>9224.6810000000005</v>
      </c>
      <c r="P97" s="59"/>
      <c r="Q97" s="39">
        <f t="shared" si="38"/>
        <v>9224.6810000000005</v>
      </c>
      <c r="R97" s="51" t="e">
        <f t="shared" si="59"/>
        <v>#DIV/0!</v>
      </c>
      <c r="S97" s="26"/>
      <c r="T97" s="59"/>
      <c r="U97" s="39">
        <f t="shared" si="39"/>
        <v>0</v>
      </c>
      <c r="V97" s="26"/>
      <c r="W97" s="59"/>
      <c r="X97" s="39">
        <f t="shared" si="40"/>
        <v>0</v>
      </c>
      <c r="Y97" s="26">
        <v>14228</v>
      </c>
      <c r="Z97" s="59"/>
      <c r="AA97" s="39">
        <f t="shared" si="41"/>
        <v>14228</v>
      </c>
      <c r="AB97" s="51" t="e">
        <f t="shared" si="8"/>
        <v>#DIV/0!</v>
      </c>
    </row>
    <row r="98" spans="1:28" x14ac:dyDescent="0.25">
      <c r="A98" s="24" t="s">
        <v>127</v>
      </c>
      <c r="B98" s="32" t="s">
        <v>90</v>
      </c>
      <c r="C98" s="26"/>
      <c r="D98" s="59"/>
      <c r="E98" s="39">
        <f t="shared" si="0"/>
        <v>0</v>
      </c>
      <c r="F98" s="26"/>
      <c r="G98" s="59"/>
      <c r="H98" s="39">
        <f t="shared" si="35"/>
        <v>0</v>
      </c>
      <c r="I98" s="26"/>
      <c r="J98" s="59"/>
      <c r="K98" s="39">
        <f t="shared" si="36"/>
        <v>0</v>
      </c>
      <c r="L98" s="26"/>
      <c r="M98" s="59"/>
      <c r="N98" s="39">
        <f t="shared" si="37"/>
        <v>0</v>
      </c>
      <c r="O98" s="26"/>
      <c r="P98" s="59"/>
      <c r="Q98" s="39">
        <f t="shared" si="38"/>
        <v>0</v>
      </c>
      <c r="R98" s="51" t="e">
        <f t="shared" si="59"/>
        <v>#DIV/0!</v>
      </c>
      <c r="S98" s="26"/>
      <c r="T98" s="59"/>
      <c r="U98" s="39">
        <f t="shared" si="39"/>
        <v>0</v>
      </c>
      <c r="V98" s="26"/>
      <c r="W98" s="59"/>
      <c r="X98" s="39">
        <f t="shared" si="40"/>
        <v>0</v>
      </c>
      <c r="Y98" s="26"/>
      <c r="Z98" s="59"/>
      <c r="AA98" s="39">
        <f t="shared" si="41"/>
        <v>0</v>
      </c>
      <c r="AB98" s="51" t="e">
        <f t="shared" si="8"/>
        <v>#DIV/0!</v>
      </c>
    </row>
    <row r="99" spans="1:28" x14ac:dyDescent="0.25">
      <c r="A99" s="24" t="s">
        <v>128</v>
      </c>
      <c r="B99" s="32" t="s">
        <v>129</v>
      </c>
      <c r="C99" s="26">
        <f>C101+C102+C103</f>
        <v>20185.1823</v>
      </c>
      <c r="D99" s="26">
        <f>D101+D102+D103</f>
        <v>0</v>
      </c>
      <c r="E99" s="39">
        <f t="shared" si="0"/>
        <v>20185.1823</v>
      </c>
      <c r="F99" s="26">
        <f>F101+F102+F103</f>
        <v>9293.6333299999988</v>
      </c>
      <c r="G99" s="26">
        <f>G101+G102+G103</f>
        <v>0</v>
      </c>
      <c r="H99" s="39">
        <f t="shared" si="35"/>
        <v>9293.6333299999988</v>
      </c>
      <c r="I99" s="26">
        <f>I101+I102+I103</f>
        <v>854.49450000000161</v>
      </c>
      <c r="J99" s="70"/>
      <c r="K99" s="39">
        <f t="shared" si="36"/>
        <v>854.49450000000161</v>
      </c>
      <c r="L99" s="26">
        <f>L101+L102+L103</f>
        <v>662.7</v>
      </c>
      <c r="M99" s="70"/>
      <c r="N99" s="39">
        <f t="shared" si="37"/>
        <v>662.7</v>
      </c>
      <c r="O99" s="26">
        <f>O101+O102+O103</f>
        <v>663.32379000000003</v>
      </c>
      <c r="P99" s="70"/>
      <c r="Q99" s="39">
        <f t="shared" si="38"/>
        <v>663.32379000000003</v>
      </c>
      <c r="R99" s="51">
        <f t="shared" si="59"/>
        <v>3.2861917229253856E-2</v>
      </c>
      <c r="S99" s="26">
        <f>S101+S102+S103</f>
        <v>3.0888</v>
      </c>
      <c r="T99" s="70"/>
      <c r="U99" s="39">
        <f t="shared" si="39"/>
        <v>3.0888</v>
      </c>
      <c r="V99" s="26"/>
      <c r="W99" s="70"/>
      <c r="X99" s="39">
        <f t="shared" si="40"/>
        <v>0</v>
      </c>
      <c r="Y99" s="26">
        <f>Y103</f>
        <v>663.32379000000003</v>
      </c>
      <c r="Z99" s="59"/>
      <c r="AA99" s="39">
        <f t="shared" si="41"/>
        <v>663.32379000000003</v>
      </c>
      <c r="AB99" s="51">
        <f t="shared" si="8"/>
        <v>3.2861917229253856E-2</v>
      </c>
    </row>
    <row r="100" spans="1:28" x14ac:dyDescent="0.25">
      <c r="A100" s="24"/>
      <c r="B100" s="32" t="s">
        <v>17</v>
      </c>
      <c r="C100" s="26"/>
      <c r="D100" s="70"/>
      <c r="E100" s="39"/>
      <c r="F100" s="26"/>
      <c r="G100" s="70"/>
      <c r="H100" s="39"/>
      <c r="I100" s="26"/>
      <c r="J100" s="70"/>
      <c r="K100" s="39"/>
      <c r="L100" s="26"/>
      <c r="M100" s="70"/>
      <c r="N100" s="39"/>
      <c r="O100" s="26"/>
      <c r="P100" s="70"/>
      <c r="Q100" s="39"/>
      <c r="R100" s="51"/>
      <c r="S100" s="26"/>
      <c r="T100" s="70"/>
      <c r="U100" s="39"/>
      <c r="V100" s="26"/>
      <c r="W100" s="70"/>
      <c r="X100" s="39"/>
      <c r="Y100" s="26"/>
      <c r="Z100" s="59"/>
      <c r="AA100" s="39"/>
      <c r="AB100" s="51"/>
    </row>
    <row r="101" spans="1:28" ht="76.5" x14ac:dyDescent="0.25">
      <c r="A101" s="24"/>
      <c r="B101" s="32" t="s">
        <v>130</v>
      </c>
      <c r="C101" s="26">
        <v>19445.47739</v>
      </c>
      <c r="D101" s="70"/>
      <c r="E101" s="39">
        <f t="shared" ref="E101:E104" si="70">C101-D101</f>
        <v>19445.47739</v>
      </c>
      <c r="F101" s="26">
        <f>9001.80648</f>
        <v>9001.8064799999993</v>
      </c>
      <c r="G101" s="70"/>
      <c r="H101" s="39">
        <f t="shared" ref="H101:H103" si="71">F101-G101</f>
        <v>9001.8064799999993</v>
      </c>
      <c r="I101" s="26">
        <f>9856.27092-F101</f>
        <v>854.46444000000156</v>
      </c>
      <c r="J101" s="70"/>
      <c r="K101" s="39">
        <f t="shared" ref="K101:K103" si="72">I101-J101</f>
        <v>854.46444000000156</v>
      </c>
      <c r="L101" s="26"/>
      <c r="M101" s="70"/>
      <c r="N101" s="39">
        <f t="shared" ref="N101:N103" si="73">L101-M101</f>
        <v>0</v>
      </c>
      <c r="O101" s="26"/>
      <c r="P101" s="70"/>
      <c r="Q101" s="39">
        <f t="shared" ref="Q101:Q103" si="74">O101-P101</f>
        <v>0</v>
      </c>
      <c r="R101" s="51">
        <f t="shared" si="59"/>
        <v>0</v>
      </c>
      <c r="S101" s="26"/>
      <c r="T101" s="70"/>
      <c r="U101" s="39">
        <f t="shared" ref="U101:U103" si="75">S101-T101</f>
        <v>0</v>
      </c>
      <c r="V101" s="26">
        <v>0</v>
      </c>
      <c r="W101" s="70"/>
      <c r="X101" s="39">
        <f t="shared" ref="X101:X103" si="76">V101-W101</f>
        <v>0</v>
      </c>
      <c r="Y101" s="26"/>
      <c r="Z101" s="59"/>
      <c r="AA101" s="39">
        <f t="shared" ref="AA101:AA103" si="77">Y101-Z101</f>
        <v>0</v>
      </c>
      <c r="AB101" s="51">
        <f t="shared" ref="AB101:AB145" si="78">AA101/E101</f>
        <v>0</v>
      </c>
    </row>
    <row r="102" spans="1:28" ht="25.5" x14ac:dyDescent="0.25">
      <c r="A102" s="24"/>
      <c r="B102" s="32" t="s">
        <v>131</v>
      </c>
      <c r="C102" s="26">
        <v>150</v>
      </c>
      <c r="D102" s="70"/>
      <c r="E102" s="39">
        <f t="shared" si="70"/>
        <v>150</v>
      </c>
      <c r="F102" s="26">
        <v>150</v>
      </c>
      <c r="G102" s="70"/>
      <c r="H102" s="39">
        <f t="shared" si="71"/>
        <v>150</v>
      </c>
      <c r="I102" s="26">
        <f>150-F102</f>
        <v>0</v>
      </c>
      <c r="J102" s="70"/>
      <c r="K102" s="39">
        <f t="shared" si="72"/>
        <v>0</v>
      </c>
      <c r="L102" s="26"/>
      <c r="M102" s="70"/>
      <c r="N102" s="39">
        <f t="shared" si="73"/>
        <v>0</v>
      </c>
      <c r="O102" s="26"/>
      <c r="P102" s="70"/>
      <c r="Q102" s="39">
        <f t="shared" si="74"/>
        <v>0</v>
      </c>
      <c r="R102" s="51">
        <f t="shared" si="59"/>
        <v>0</v>
      </c>
      <c r="S102" s="26"/>
      <c r="T102" s="70"/>
      <c r="U102" s="39">
        <f t="shared" si="75"/>
        <v>0</v>
      </c>
      <c r="V102" s="26"/>
      <c r="W102" s="70"/>
      <c r="X102" s="39">
        <f t="shared" si="76"/>
        <v>0</v>
      </c>
      <c r="Y102" s="26"/>
      <c r="Z102" s="59"/>
      <c r="AA102" s="39">
        <f t="shared" si="77"/>
        <v>0</v>
      </c>
      <c r="AB102" s="51">
        <f t="shared" si="78"/>
        <v>0</v>
      </c>
    </row>
    <row r="103" spans="1:28" ht="25.5" x14ac:dyDescent="0.25">
      <c r="A103" s="24"/>
      <c r="B103" s="32" t="s">
        <v>132</v>
      </c>
      <c r="C103" s="26">
        <f>5.52106+584.18385</f>
        <v>589.70491000000004</v>
      </c>
      <c r="D103" s="70"/>
      <c r="E103" s="39">
        <f t="shared" si="70"/>
        <v>589.70491000000004</v>
      </c>
      <c r="F103" s="26">
        <f>141.82685</f>
        <v>141.82685000000001</v>
      </c>
      <c r="G103" s="70"/>
      <c r="H103" s="39">
        <f t="shared" si="71"/>
        <v>141.82685000000001</v>
      </c>
      <c r="I103" s="26">
        <f>141.85691-F103</f>
        <v>3.005999999999176E-2</v>
      </c>
      <c r="J103" s="70"/>
      <c r="K103" s="39">
        <f t="shared" si="72"/>
        <v>3.005999999999176E-2</v>
      </c>
      <c r="L103" s="26">
        <v>662.7</v>
      </c>
      <c r="M103" s="70"/>
      <c r="N103" s="39">
        <f t="shared" si="73"/>
        <v>662.7</v>
      </c>
      <c r="O103" s="26">
        <f>60+7+596.32379</f>
        <v>663.32379000000003</v>
      </c>
      <c r="P103" s="70"/>
      <c r="Q103" s="39">
        <f t="shared" si="74"/>
        <v>663.32379000000003</v>
      </c>
      <c r="R103" s="51">
        <f t="shared" si="59"/>
        <v>1.1248402018562131</v>
      </c>
      <c r="S103" s="26">
        <f>2.32572+0.76308+0</f>
        <v>3.0888</v>
      </c>
      <c r="T103" s="70"/>
      <c r="U103" s="39">
        <f t="shared" si="75"/>
        <v>3.0888</v>
      </c>
      <c r="V103" s="26"/>
      <c r="W103" s="70"/>
      <c r="X103" s="39">
        <f t="shared" si="76"/>
        <v>0</v>
      </c>
      <c r="Y103" s="26">
        <f>596.32379+7+60</f>
        <v>663.32379000000003</v>
      </c>
      <c r="Z103" s="59"/>
      <c r="AA103" s="39">
        <f t="shared" si="77"/>
        <v>663.32379000000003</v>
      </c>
      <c r="AB103" s="51">
        <f t="shared" si="78"/>
        <v>1.1248402018562131</v>
      </c>
    </row>
    <row r="104" spans="1:28" x14ac:dyDescent="0.25">
      <c r="A104" s="72"/>
      <c r="B104" s="12" t="s">
        <v>133</v>
      </c>
      <c r="C104" s="73">
        <f>C51</f>
        <v>3333718.34002</v>
      </c>
      <c r="D104" s="73">
        <f t="shared" ref="D104" si="79">D51</f>
        <v>1951982.21104</v>
      </c>
      <c r="E104" s="13">
        <f t="shared" si="70"/>
        <v>1381736.12898</v>
      </c>
      <c r="F104" s="73">
        <f>F51</f>
        <v>338256.83828999999</v>
      </c>
      <c r="G104" s="73">
        <f t="shared" ref="G104" si="80">G51</f>
        <v>161157.53761</v>
      </c>
      <c r="H104" s="13">
        <f t="shared" si="35"/>
        <v>177099.30067999999</v>
      </c>
      <c r="I104" s="73">
        <f>I51</f>
        <v>293392.52252</v>
      </c>
      <c r="J104" s="73">
        <f t="shared" ref="J104" si="81">J51</f>
        <v>144998.31093000001</v>
      </c>
      <c r="K104" s="13">
        <f t="shared" si="36"/>
        <v>148394.21158999999</v>
      </c>
      <c r="L104" s="73">
        <f>L51</f>
        <v>3147176.2886099997</v>
      </c>
      <c r="M104" s="73">
        <f t="shared" ref="M104" si="82">M51</f>
        <v>1741913.7386700001</v>
      </c>
      <c r="N104" s="13">
        <f t="shared" si="37"/>
        <v>1405262.5499399996</v>
      </c>
      <c r="O104" s="73">
        <f>O51</f>
        <v>3250062.7287299996</v>
      </c>
      <c r="P104" s="73">
        <f t="shared" ref="P104" si="83">P51</f>
        <v>1829008.2870300002</v>
      </c>
      <c r="Q104" s="13">
        <f t="shared" si="38"/>
        <v>1421054.4416999994</v>
      </c>
      <c r="R104" s="14">
        <f>Q104/E104</f>
        <v>1.0284557318111267</v>
      </c>
      <c r="S104" s="73">
        <f>S51</f>
        <v>565799.45546000008</v>
      </c>
      <c r="T104" s="73">
        <f t="shared" ref="T104" si="84">T51</f>
        <v>337121.91876999999</v>
      </c>
      <c r="U104" s="13">
        <f t="shared" si="39"/>
        <v>228677.5366900001</v>
      </c>
      <c r="V104" s="73">
        <f>V51</f>
        <v>235101.90000000002</v>
      </c>
      <c r="W104" s="73">
        <f t="shared" ref="W104" si="85">W51</f>
        <v>133752.80000000002</v>
      </c>
      <c r="X104" s="13">
        <f t="shared" si="40"/>
        <v>101349.1</v>
      </c>
      <c r="Y104" s="73">
        <f>Y51</f>
        <v>3573517.7031999999</v>
      </c>
      <c r="Z104" s="73">
        <f t="shared" ref="Z104" si="86">Z51</f>
        <v>2097360.1305</v>
      </c>
      <c r="AA104" s="13">
        <f t="shared" si="41"/>
        <v>1476157.5726999999</v>
      </c>
      <c r="AB104" s="14">
        <f t="shared" si="78"/>
        <v>1.0683353657327481</v>
      </c>
    </row>
    <row r="105" spans="1:28" x14ac:dyDescent="0.25">
      <c r="A105" s="41"/>
      <c r="B105" s="74" t="s">
        <v>134</v>
      </c>
      <c r="C105" s="75">
        <f t="shared" ref="C105:I105" si="87">C50-C51</f>
        <v>39387.264939999674</v>
      </c>
      <c r="D105" s="75">
        <f t="shared" si="87"/>
        <v>2574.4233500002883</v>
      </c>
      <c r="E105" s="75">
        <f t="shared" si="87"/>
        <v>36812.841589999385</v>
      </c>
      <c r="F105" s="75">
        <f t="shared" si="87"/>
        <v>90415.476400000043</v>
      </c>
      <c r="G105" s="75">
        <f t="shared" si="87"/>
        <v>51182.306199999992</v>
      </c>
      <c r="H105" s="75">
        <f t="shared" si="87"/>
        <v>39233.170200000051</v>
      </c>
      <c r="I105" s="75">
        <f t="shared" si="87"/>
        <v>-86152.28171000001</v>
      </c>
      <c r="J105" s="75">
        <f>J50-J51</f>
        <v>-43423.754539999994</v>
      </c>
      <c r="K105" s="75">
        <f>I105-J105</f>
        <v>-42728.527170000016</v>
      </c>
      <c r="L105" s="75">
        <f>L50-L51</f>
        <v>-98315.706969999708</v>
      </c>
      <c r="M105" s="75">
        <f>M50-M51</f>
        <v>-0.32003000006079674</v>
      </c>
      <c r="N105" s="75">
        <f>N50-N51</f>
        <v>-98315.386939999647</v>
      </c>
      <c r="O105" s="75">
        <f>O50-O51</f>
        <v>-201202.14708999963</v>
      </c>
      <c r="P105" s="75">
        <f t="shared" ref="P105:Q105" si="88">P50-P51</f>
        <v>-87094.868390000192</v>
      </c>
      <c r="Q105" s="75">
        <f t="shared" si="88"/>
        <v>-114107.27869999944</v>
      </c>
      <c r="R105" s="75"/>
      <c r="S105" s="75">
        <f t="shared" ref="S105:Z105" si="89">S50-S51</f>
        <v>12196.592199999839</v>
      </c>
      <c r="T105" s="75">
        <f t="shared" si="89"/>
        <v>-3917.7719400000642</v>
      </c>
      <c r="U105" s="75">
        <f>S105-T105</f>
        <v>16114.364139999903</v>
      </c>
      <c r="V105" s="75">
        <f t="shared" si="89"/>
        <v>-99200.198600000003</v>
      </c>
      <c r="W105" s="75">
        <f t="shared" si="89"/>
        <v>-2270.6000000000058</v>
      </c>
      <c r="X105" s="75">
        <f>V105-W105</f>
        <v>-96929.598599999998</v>
      </c>
      <c r="Y105" s="75">
        <f t="shared" si="89"/>
        <v>-169240.50971000036</v>
      </c>
      <c r="Z105" s="75">
        <f t="shared" si="89"/>
        <v>-1274.0000100000761</v>
      </c>
      <c r="AA105" s="75">
        <f>Y105-Z105</f>
        <v>-167966.50970000029</v>
      </c>
      <c r="AB105" s="19"/>
    </row>
    <row r="106" spans="1:28" s="157" customFormat="1" ht="22.5" x14ac:dyDescent="0.25">
      <c r="A106" s="164"/>
      <c r="B106" s="165" t="s">
        <v>135</v>
      </c>
      <c r="C106" s="76">
        <v>39387.264940000001</v>
      </c>
      <c r="D106" s="76">
        <v>2574.42335</v>
      </c>
      <c r="E106" s="76"/>
      <c r="F106" s="76">
        <f>90415.4762</f>
        <v>90415.476200000005</v>
      </c>
      <c r="G106" s="76">
        <f>51182.3062</f>
        <v>51182.306199999999</v>
      </c>
      <c r="H106" s="76">
        <f>F106-G106</f>
        <v>39233.170000000006</v>
      </c>
      <c r="I106" s="76">
        <f>4263.19469-F106</f>
        <v>-86152.281510000001</v>
      </c>
      <c r="J106" s="76">
        <f>7758.55166-G106</f>
        <v>-43423.754540000002</v>
      </c>
      <c r="K106" s="76">
        <f>I106-J106</f>
        <v>-42728.526969999999</v>
      </c>
      <c r="L106" s="77">
        <v>-98315.706969999999</v>
      </c>
      <c r="M106" s="77">
        <v>0</v>
      </c>
      <c r="N106" s="172">
        <f>L106-M106</f>
        <v>-98315.706969999999</v>
      </c>
      <c r="O106" s="78">
        <v>-98315.706969999999</v>
      </c>
      <c r="P106" s="79">
        <v>-87094.868390000003</v>
      </c>
      <c r="Q106" s="172">
        <f>O106-P106</f>
        <v>-11220.838579999996</v>
      </c>
      <c r="R106" s="80"/>
      <c r="S106" s="76">
        <v>12196.592199999999</v>
      </c>
      <c r="T106" s="76">
        <v>-3917.7719400000001</v>
      </c>
      <c r="U106" s="172">
        <f>S106-T106</f>
        <v>16114.36414</v>
      </c>
      <c r="V106" s="76"/>
      <c r="W106" s="76"/>
      <c r="X106" s="76"/>
      <c r="Y106" s="76"/>
      <c r="Z106" s="76"/>
      <c r="AA106" s="76"/>
      <c r="AB106" s="80"/>
    </row>
    <row r="107" spans="1:28" ht="26.25" x14ac:dyDescent="0.25">
      <c r="A107" s="15" t="s">
        <v>136</v>
      </c>
      <c r="B107" s="81" t="s">
        <v>137</v>
      </c>
      <c r="C107" s="82">
        <f>C109+C110+C115+C118</f>
        <v>-39387.264939999674</v>
      </c>
      <c r="D107" s="82" t="s">
        <v>138</v>
      </c>
      <c r="E107" s="83" t="s">
        <v>138</v>
      </c>
      <c r="F107" s="82">
        <f>F109+F110+F115+F118</f>
        <v>-90415.476400000043</v>
      </c>
      <c r="G107" s="82" t="s">
        <v>138</v>
      </c>
      <c r="H107" s="82" t="s">
        <v>138</v>
      </c>
      <c r="I107" s="82">
        <f>I109+I110+I115+I118</f>
        <v>86152.28171000001</v>
      </c>
      <c r="J107" s="82" t="s">
        <v>138</v>
      </c>
      <c r="K107" s="82" t="s">
        <v>138</v>
      </c>
      <c r="L107" s="84">
        <f>L109+L110+L115+L118</f>
        <v>98315.706969999708</v>
      </c>
      <c r="M107" s="82" t="s">
        <v>138</v>
      </c>
      <c r="N107" s="82" t="s">
        <v>138</v>
      </c>
      <c r="O107" s="84">
        <f>O109+O110+O115+O118</f>
        <v>201202.14708999963</v>
      </c>
      <c r="P107" s="82" t="s">
        <v>138</v>
      </c>
      <c r="Q107" s="82" t="s">
        <v>138</v>
      </c>
      <c r="R107" s="19"/>
      <c r="S107" s="82">
        <f>S109+S110+S115+S118</f>
        <v>-12196.592199999839</v>
      </c>
      <c r="T107" s="82" t="s">
        <v>138</v>
      </c>
      <c r="U107" s="82" t="s">
        <v>138</v>
      </c>
      <c r="V107" s="82">
        <f>V109+V110+V115+V118</f>
        <v>99200.198600000003</v>
      </c>
      <c r="W107" s="85" t="s">
        <v>138</v>
      </c>
      <c r="X107" s="85" t="s">
        <v>138</v>
      </c>
      <c r="Y107" s="82">
        <f>Y109+Y110+Y115+Y118</f>
        <v>169240.50971000036</v>
      </c>
      <c r="Z107" s="82" t="s">
        <v>138</v>
      </c>
      <c r="AA107" s="82" t="s">
        <v>138</v>
      </c>
      <c r="AB107" s="19"/>
    </row>
    <row r="108" spans="1:28" x14ac:dyDescent="0.25">
      <c r="A108" s="15"/>
      <c r="B108" s="25" t="s">
        <v>17</v>
      </c>
      <c r="C108" s="82"/>
      <c r="D108" s="82"/>
      <c r="E108" s="83"/>
      <c r="F108" s="82"/>
      <c r="G108" s="82"/>
      <c r="H108" s="82"/>
      <c r="I108" s="82"/>
      <c r="J108" s="82"/>
      <c r="K108" s="82"/>
      <c r="L108" s="86"/>
      <c r="M108" s="82"/>
      <c r="N108" s="82"/>
      <c r="O108" s="86"/>
      <c r="P108" s="82"/>
      <c r="Q108" s="82"/>
      <c r="R108" s="19"/>
      <c r="S108" s="86"/>
      <c r="T108" s="82"/>
      <c r="U108" s="82"/>
      <c r="V108" s="86"/>
      <c r="W108" s="86"/>
      <c r="X108" s="86"/>
      <c r="Y108" s="86"/>
      <c r="Z108" s="82"/>
      <c r="AA108" s="82"/>
      <c r="AB108" s="19"/>
    </row>
    <row r="109" spans="1:28" x14ac:dyDescent="0.25">
      <c r="A109" s="15" t="s">
        <v>139</v>
      </c>
      <c r="B109" s="81" t="s">
        <v>140</v>
      </c>
      <c r="C109" s="82">
        <f>C104-C50-C115-C110-C118</f>
        <v>-406641.09953999968</v>
      </c>
      <c r="D109" s="82" t="s">
        <v>138</v>
      </c>
      <c r="E109" s="83" t="s">
        <v>138</v>
      </c>
      <c r="F109" s="82">
        <f>F104-F50-F115-F110-F118</f>
        <v>-75557.53902000004</v>
      </c>
      <c r="G109" s="82" t="s">
        <v>138</v>
      </c>
      <c r="H109" s="82" t="s">
        <v>138</v>
      </c>
      <c r="I109" s="82">
        <f>I104-I50-I115-I110-I118</f>
        <v>4254.6096900000121</v>
      </c>
      <c r="J109" s="82" t="s">
        <v>138</v>
      </c>
      <c r="K109" s="82" t="s">
        <v>138</v>
      </c>
      <c r="L109" s="84">
        <f>L104-L50-L115-L110-L118</f>
        <v>-2.9103830456733704E-10</v>
      </c>
      <c r="M109" s="84" t="s">
        <v>138</v>
      </c>
      <c r="N109" s="84" t="s">
        <v>138</v>
      </c>
      <c r="O109" s="84">
        <f>O104-O50-O115-O110-O118</f>
        <v>102886.44011999964</v>
      </c>
      <c r="P109" s="82" t="s">
        <v>138</v>
      </c>
      <c r="Q109" s="82" t="s">
        <v>138</v>
      </c>
      <c r="R109" s="19"/>
      <c r="S109" s="82">
        <f>S104-S50-S115-S110-S118</f>
        <v>-11564.64524999984</v>
      </c>
      <c r="T109" s="82" t="s">
        <v>138</v>
      </c>
      <c r="U109" s="82" t="s">
        <v>138</v>
      </c>
      <c r="V109" s="82">
        <f>V104-V50-V115-V110-V118</f>
        <v>146282.1986</v>
      </c>
      <c r="W109" s="82" t="s">
        <v>138</v>
      </c>
      <c r="X109" s="82" t="s">
        <v>138</v>
      </c>
      <c r="Y109" s="82">
        <f>Y104-Y50-Y115-Y110-Y118</f>
        <v>70924.802740000363</v>
      </c>
      <c r="Z109" s="82" t="s">
        <v>138</v>
      </c>
      <c r="AA109" s="82" t="s">
        <v>138</v>
      </c>
      <c r="AB109" s="19"/>
    </row>
    <row r="110" spans="1:28" ht="26.25" x14ac:dyDescent="0.25">
      <c r="A110" s="15" t="s">
        <v>141</v>
      </c>
      <c r="B110" s="81" t="s">
        <v>142</v>
      </c>
      <c r="C110" s="82">
        <f>C111+C112+C113+C114</f>
        <v>-13580</v>
      </c>
      <c r="D110" s="82" t="s">
        <v>138</v>
      </c>
      <c r="E110" s="83" t="s">
        <v>138</v>
      </c>
      <c r="F110" s="82">
        <f>F111+F112+F113+F114</f>
        <v>0</v>
      </c>
      <c r="G110" s="82" t="s">
        <v>138</v>
      </c>
      <c r="H110" s="82" t="s">
        <v>138</v>
      </c>
      <c r="I110" s="82">
        <f>I111+I112+I113+I114</f>
        <v>0</v>
      </c>
      <c r="J110" s="82" t="s">
        <v>138</v>
      </c>
      <c r="K110" s="82" t="s">
        <v>138</v>
      </c>
      <c r="L110" s="82">
        <f>L111+L112+L113+L114</f>
        <v>-38510</v>
      </c>
      <c r="M110" s="82" t="s">
        <v>138</v>
      </c>
      <c r="N110" s="82" t="s">
        <v>138</v>
      </c>
      <c r="O110" s="82">
        <f>O111+O112+O113+O114</f>
        <v>-38510</v>
      </c>
      <c r="P110" s="82" t="s">
        <v>138</v>
      </c>
      <c r="Q110" s="82" t="s">
        <v>138</v>
      </c>
      <c r="R110" s="19"/>
      <c r="S110" s="82">
        <f>S111+S112+S113+S114</f>
        <v>0</v>
      </c>
      <c r="T110" s="82" t="s">
        <v>138</v>
      </c>
      <c r="U110" s="82" t="s">
        <v>138</v>
      </c>
      <c r="V110" s="82">
        <f>V111+V112+V113+V114</f>
        <v>0</v>
      </c>
      <c r="W110" s="82" t="s">
        <v>138</v>
      </c>
      <c r="X110" s="82" t="s">
        <v>138</v>
      </c>
      <c r="Y110" s="82">
        <f>Y111+Y112+Y113+Y114</f>
        <v>-38510</v>
      </c>
      <c r="Z110" s="82" t="s">
        <v>138</v>
      </c>
      <c r="AA110" s="82" t="s">
        <v>138</v>
      </c>
      <c r="AB110" s="19"/>
    </row>
    <row r="111" spans="1:28" x14ac:dyDescent="0.25">
      <c r="A111" s="15"/>
      <c r="B111" s="25" t="s">
        <v>143</v>
      </c>
      <c r="C111" s="87">
        <v>0</v>
      </c>
      <c r="D111" s="82" t="s">
        <v>138</v>
      </c>
      <c r="E111" s="83" t="s">
        <v>138</v>
      </c>
      <c r="F111" s="87"/>
      <c r="G111" s="82" t="s">
        <v>138</v>
      </c>
      <c r="H111" s="82" t="s">
        <v>138</v>
      </c>
      <c r="I111" s="87"/>
      <c r="J111" s="82" t="s">
        <v>138</v>
      </c>
      <c r="K111" s="82" t="s">
        <v>138</v>
      </c>
      <c r="L111" s="87"/>
      <c r="M111" s="82" t="s">
        <v>138</v>
      </c>
      <c r="N111" s="82" t="s">
        <v>138</v>
      </c>
      <c r="O111" s="87"/>
      <c r="P111" s="82" t="s">
        <v>138</v>
      </c>
      <c r="Q111" s="82" t="s">
        <v>138</v>
      </c>
      <c r="R111" s="19"/>
      <c r="S111" s="87"/>
      <c r="T111" s="82" t="s">
        <v>138</v>
      </c>
      <c r="U111" s="82" t="s">
        <v>138</v>
      </c>
      <c r="V111" s="87"/>
      <c r="W111" s="82" t="s">
        <v>138</v>
      </c>
      <c r="X111" s="82" t="s">
        <v>138</v>
      </c>
      <c r="Y111" s="87"/>
      <c r="Z111" s="82" t="s">
        <v>138</v>
      </c>
      <c r="AA111" s="82" t="s">
        <v>138</v>
      </c>
      <c r="AB111" s="19"/>
    </row>
    <row r="112" spans="1:28" ht="26.25" x14ac:dyDescent="0.25">
      <c r="A112" s="15"/>
      <c r="B112" s="25" t="s">
        <v>144</v>
      </c>
      <c r="C112" s="87">
        <v>0</v>
      </c>
      <c r="D112" s="82" t="s">
        <v>138</v>
      </c>
      <c r="E112" s="83" t="s">
        <v>138</v>
      </c>
      <c r="F112" s="87"/>
      <c r="G112" s="82" t="s">
        <v>138</v>
      </c>
      <c r="H112" s="82" t="s">
        <v>138</v>
      </c>
      <c r="I112" s="87"/>
      <c r="J112" s="82" t="s">
        <v>138</v>
      </c>
      <c r="K112" s="82" t="s">
        <v>138</v>
      </c>
      <c r="L112" s="87"/>
      <c r="M112" s="82" t="s">
        <v>138</v>
      </c>
      <c r="N112" s="82" t="s">
        <v>138</v>
      </c>
      <c r="O112" s="87"/>
      <c r="P112" s="82" t="s">
        <v>138</v>
      </c>
      <c r="Q112" s="82" t="s">
        <v>138</v>
      </c>
      <c r="R112" s="19"/>
      <c r="S112" s="87"/>
      <c r="T112" s="82" t="s">
        <v>138</v>
      </c>
      <c r="U112" s="82" t="s">
        <v>138</v>
      </c>
      <c r="V112" s="87"/>
      <c r="W112" s="82" t="s">
        <v>138</v>
      </c>
      <c r="X112" s="82" t="s">
        <v>138</v>
      </c>
      <c r="Y112" s="87"/>
      <c r="Z112" s="82" t="s">
        <v>138</v>
      </c>
      <c r="AA112" s="82" t="s">
        <v>138</v>
      </c>
      <c r="AB112" s="19"/>
    </row>
    <row r="113" spans="1:28" x14ac:dyDescent="0.25">
      <c r="A113" s="15"/>
      <c r="B113" s="25" t="s">
        <v>145</v>
      </c>
      <c r="C113" s="87">
        <v>-13580</v>
      </c>
      <c r="D113" s="82" t="s">
        <v>138</v>
      </c>
      <c r="E113" s="83" t="s">
        <v>138</v>
      </c>
      <c r="F113" s="87"/>
      <c r="G113" s="82" t="s">
        <v>138</v>
      </c>
      <c r="H113" s="82" t="s">
        <v>138</v>
      </c>
      <c r="I113" s="87"/>
      <c r="J113" s="82" t="s">
        <v>138</v>
      </c>
      <c r="K113" s="82" t="s">
        <v>138</v>
      </c>
      <c r="L113" s="87">
        <v>-38510</v>
      </c>
      <c r="M113" s="82" t="s">
        <v>138</v>
      </c>
      <c r="N113" s="82" t="s">
        <v>138</v>
      </c>
      <c r="O113" s="87">
        <v>-38510</v>
      </c>
      <c r="P113" s="82" t="s">
        <v>138</v>
      </c>
      <c r="Q113" s="82" t="s">
        <v>138</v>
      </c>
      <c r="R113" s="19"/>
      <c r="S113" s="87">
        <v>0</v>
      </c>
      <c r="T113" s="82" t="s">
        <v>138</v>
      </c>
      <c r="U113" s="82" t="s">
        <v>138</v>
      </c>
      <c r="V113" s="87"/>
      <c r="W113" s="82" t="s">
        <v>138</v>
      </c>
      <c r="X113" s="82" t="s">
        <v>138</v>
      </c>
      <c r="Y113" s="87">
        <f>O113</f>
        <v>-38510</v>
      </c>
      <c r="Z113" s="82" t="s">
        <v>138</v>
      </c>
      <c r="AA113" s="82" t="s">
        <v>138</v>
      </c>
      <c r="AB113" s="19"/>
    </row>
    <row r="114" spans="1:28" ht="26.25" x14ac:dyDescent="0.25">
      <c r="A114" s="15"/>
      <c r="B114" s="25" t="s">
        <v>146</v>
      </c>
      <c r="C114" s="87">
        <v>0</v>
      </c>
      <c r="D114" s="82" t="s">
        <v>138</v>
      </c>
      <c r="E114" s="83" t="s">
        <v>138</v>
      </c>
      <c r="F114" s="87"/>
      <c r="G114" s="82" t="s">
        <v>138</v>
      </c>
      <c r="H114" s="82" t="s">
        <v>138</v>
      </c>
      <c r="I114" s="87"/>
      <c r="J114" s="82" t="s">
        <v>138</v>
      </c>
      <c r="K114" s="82" t="s">
        <v>138</v>
      </c>
      <c r="L114" s="87"/>
      <c r="M114" s="82" t="s">
        <v>138</v>
      </c>
      <c r="N114" s="82" t="s">
        <v>138</v>
      </c>
      <c r="O114" s="87"/>
      <c r="P114" s="82" t="s">
        <v>138</v>
      </c>
      <c r="Q114" s="82" t="s">
        <v>138</v>
      </c>
      <c r="R114" s="19"/>
      <c r="S114" s="87"/>
      <c r="T114" s="82" t="s">
        <v>138</v>
      </c>
      <c r="U114" s="82" t="s">
        <v>138</v>
      </c>
      <c r="V114" s="87"/>
      <c r="W114" s="82" t="s">
        <v>138</v>
      </c>
      <c r="X114" s="82" t="s">
        <v>138</v>
      </c>
      <c r="Y114" s="87"/>
      <c r="Z114" s="82" t="s">
        <v>138</v>
      </c>
      <c r="AA114" s="82" t="s">
        <v>138</v>
      </c>
      <c r="AB114" s="19"/>
    </row>
    <row r="115" spans="1:28" x14ac:dyDescent="0.25">
      <c r="A115" s="15" t="s">
        <v>147</v>
      </c>
      <c r="B115" s="81" t="s">
        <v>148</v>
      </c>
      <c r="C115" s="82">
        <f>C116+C117</f>
        <v>0</v>
      </c>
      <c r="D115" s="82" t="s">
        <v>138</v>
      </c>
      <c r="E115" s="83" t="s">
        <v>138</v>
      </c>
      <c r="F115" s="82">
        <f t="shared" ref="F115" si="90">F116+F117</f>
        <v>0</v>
      </c>
      <c r="G115" s="82" t="s">
        <v>138</v>
      </c>
      <c r="H115" s="82" t="s">
        <v>138</v>
      </c>
      <c r="I115" s="82">
        <f t="shared" ref="I115" si="91">I116+I117</f>
        <v>0</v>
      </c>
      <c r="J115" s="82" t="s">
        <v>138</v>
      </c>
      <c r="K115" s="82" t="s">
        <v>138</v>
      </c>
      <c r="L115" s="82">
        <f t="shared" ref="L115" si="92">L116+L117</f>
        <v>136825.70697</v>
      </c>
      <c r="M115" s="82" t="s">
        <v>138</v>
      </c>
      <c r="N115" s="82" t="s">
        <v>138</v>
      </c>
      <c r="O115" s="82">
        <f t="shared" ref="O115" si="93">O116+O117</f>
        <v>136825.70697</v>
      </c>
      <c r="P115" s="82" t="s">
        <v>138</v>
      </c>
      <c r="Q115" s="82" t="s">
        <v>138</v>
      </c>
      <c r="R115" s="19"/>
      <c r="S115" s="82">
        <f t="shared" ref="S115" si="94">S116+S117</f>
        <v>0</v>
      </c>
      <c r="T115" s="82" t="s">
        <v>138</v>
      </c>
      <c r="U115" s="82" t="s">
        <v>138</v>
      </c>
      <c r="V115" s="82">
        <f t="shared" ref="V115" si="95">V116+V117</f>
        <v>0</v>
      </c>
      <c r="W115" s="82" t="s">
        <v>138</v>
      </c>
      <c r="X115" s="82" t="s">
        <v>138</v>
      </c>
      <c r="Y115" s="82">
        <f t="shared" ref="Y115" si="96">Y116+Y117</f>
        <v>136825.70697</v>
      </c>
      <c r="Z115" s="82" t="s">
        <v>138</v>
      </c>
      <c r="AA115" s="82" t="s">
        <v>138</v>
      </c>
      <c r="AB115" s="19"/>
    </row>
    <row r="116" spans="1:28" x14ac:dyDescent="0.25">
      <c r="A116" s="24"/>
      <c r="B116" s="25" t="s">
        <v>149</v>
      </c>
      <c r="C116" s="87"/>
      <c r="D116" s="82" t="s">
        <v>138</v>
      </c>
      <c r="E116" s="83" t="s">
        <v>138</v>
      </c>
      <c r="F116" s="87"/>
      <c r="G116" s="82" t="s">
        <v>138</v>
      </c>
      <c r="H116" s="82" t="s">
        <v>138</v>
      </c>
      <c r="I116" s="87"/>
      <c r="J116" s="82" t="s">
        <v>138</v>
      </c>
      <c r="K116" s="82" t="s">
        <v>138</v>
      </c>
      <c r="L116" s="87">
        <v>136825.70697</v>
      </c>
      <c r="M116" s="82" t="s">
        <v>138</v>
      </c>
      <c r="N116" s="82" t="s">
        <v>138</v>
      </c>
      <c r="O116" s="87">
        <v>136825.70697</v>
      </c>
      <c r="P116" s="82" t="s">
        <v>138</v>
      </c>
      <c r="Q116" s="82" t="s">
        <v>138</v>
      </c>
      <c r="R116" s="19"/>
      <c r="S116" s="87">
        <v>0</v>
      </c>
      <c r="T116" s="82" t="s">
        <v>138</v>
      </c>
      <c r="U116" s="82" t="s">
        <v>138</v>
      </c>
      <c r="V116" s="87">
        <v>0</v>
      </c>
      <c r="W116" s="82" t="s">
        <v>138</v>
      </c>
      <c r="X116" s="82" t="s">
        <v>138</v>
      </c>
      <c r="Y116" s="87">
        <v>136825.70697</v>
      </c>
      <c r="Z116" s="82" t="s">
        <v>138</v>
      </c>
      <c r="AA116" s="82" t="s">
        <v>138</v>
      </c>
      <c r="AB116" s="19"/>
    </row>
    <row r="117" spans="1:28" x14ac:dyDescent="0.25">
      <c r="A117" s="15"/>
      <c r="B117" s="25" t="s">
        <v>145</v>
      </c>
      <c r="C117" s="84"/>
      <c r="D117" s="82" t="s">
        <v>138</v>
      </c>
      <c r="E117" s="83" t="s">
        <v>138</v>
      </c>
      <c r="F117" s="84"/>
      <c r="G117" s="82" t="s">
        <v>138</v>
      </c>
      <c r="H117" s="82" t="s">
        <v>138</v>
      </c>
      <c r="I117" s="84"/>
      <c r="J117" s="82" t="s">
        <v>138</v>
      </c>
      <c r="K117" s="82" t="s">
        <v>138</v>
      </c>
      <c r="L117" s="84"/>
      <c r="M117" s="82" t="s">
        <v>138</v>
      </c>
      <c r="N117" s="82" t="s">
        <v>138</v>
      </c>
      <c r="O117" s="84"/>
      <c r="P117" s="82" t="s">
        <v>138</v>
      </c>
      <c r="Q117" s="82" t="s">
        <v>138</v>
      </c>
      <c r="R117" s="19"/>
      <c r="S117" s="84"/>
      <c r="T117" s="82" t="s">
        <v>138</v>
      </c>
      <c r="U117" s="82" t="s">
        <v>138</v>
      </c>
      <c r="V117" s="84"/>
      <c r="W117" s="82" t="s">
        <v>138</v>
      </c>
      <c r="X117" s="82" t="s">
        <v>138</v>
      </c>
      <c r="Y117" s="84"/>
      <c r="Z117" s="82" t="s">
        <v>138</v>
      </c>
      <c r="AA117" s="82" t="s">
        <v>138</v>
      </c>
      <c r="AB117" s="19"/>
    </row>
    <row r="118" spans="1:28" ht="26.25" x14ac:dyDescent="0.25">
      <c r="A118" s="15" t="s">
        <v>150</v>
      </c>
      <c r="B118" s="81" t="s">
        <v>151</v>
      </c>
      <c r="C118" s="84">
        <f>C120</f>
        <v>380833.8346</v>
      </c>
      <c r="D118" s="82" t="s">
        <v>138</v>
      </c>
      <c r="E118" s="83" t="s">
        <v>138</v>
      </c>
      <c r="F118" s="84">
        <f>F120</f>
        <v>-14857.937379999999</v>
      </c>
      <c r="G118" s="82" t="s">
        <v>138</v>
      </c>
      <c r="H118" s="82" t="s">
        <v>138</v>
      </c>
      <c r="I118" s="84">
        <f>I120</f>
        <v>81897.672019999998</v>
      </c>
      <c r="J118" s="82" t="s">
        <v>138</v>
      </c>
      <c r="K118" s="82" t="s">
        <v>138</v>
      </c>
      <c r="L118" s="84">
        <f>L120</f>
        <v>0</v>
      </c>
      <c r="M118" s="82" t="s">
        <v>138</v>
      </c>
      <c r="N118" s="82" t="s">
        <v>138</v>
      </c>
      <c r="O118" s="84">
        <f>O120</f>
        <v>0</v>
      </c>
      <c r="P118" s="82" t="s">
        <v>138</v>
      </c>
      <c r="Q118" s="82" t="s">
        <v>138</v>
      </c>
      <c r="R118" s="19"/>
      <c r="S118" s="84">
        <f>S120</f>
        <v>-631.94695000000002</v>
      </c>
      <c r="T118" s="82" t="s">
        <v>138</v>
      </c>
      <c r="U118" s="82" t="s">
        <v>138</v>
      </c>
      <c r="V118" s="84">
        <f>V120</f>
        <v>-47082</v>
      </c>
      <c r="W118" s="82" t="s">
        <v>138</v>
      </c>
      <c r="X118" s="82" t="s">
        <v>138</v>
      </c>
      <c r="Y118" s="84">
        <f>Y120</f>
        <v>0</v>
      </c>
      <c r="Z118" s="82" t="s">
        <v>138</v>
      </c>
      <c r="AA118" s="82" t="s">
        <v>138</v>
      </c>
      <c r="AB118" s="19"/>
    </row>
    <row r="119" spans="1:28" x14ac:dyDescent="0.25">
      <c r="A119" s="15"/>
      <c r="B119" s="25" t="s">
        <v>17</v>
      </c>
      <c r="C119" s="84"/>
      <c r="D119" s="82"/>
      <c r="E119" s="83"/>
      <c r="F119" s="84"/>
      <c r="G119" s="82"/>
      <c r="H119" s="82"/>
      <c r="I119" s="84"/>
      <c r="J119" s="82"/>
      <c r="K119" s="82"/>
      <c r="L119" s="84"/>
      <c r="M119" s="82"/>
      <c r="N119" s="82"/>
      <c r="O119" s="84"/>
      <c r="P119" s="82"/>
      <c r="Q119" s="82"/>
      <c r="R119" s="19"/>
      <c r="S119" s="84"/>
      <c r="T119" s="82"/>
      <c r="U119" s="82"/>
      <c r="V119" s="84"/>
      <c r="W119" s="82"/>
      <c r="X119" s="82"/>
      <c r="Y119" s="84"/>
      <c r="Z119" s="82"/>
      <c r="AA119" s="82"/>
      <c r="AB119" s="19"/>
    </row>
    <row r="120" spans="1:28" ht="51" x14ac:dyDescent="0.25">
      <c r="A120" s="15"/>
      <c r="B120" s="88" t="s">
        <v>152</v>
      </c>
      <c r="C120" s="84">
        <v>380833.8346</v>
      </c>
      <c r="D120" s="82" t="s">
        <v>138</v>
      </c>
      <c r="E120" s="83" t="s">
        <v>138</v>
      </c>
      <c r="F120" s="84">
        <f>-14857.93738</f>
        <v>-14857.937379999999</v>
      </c>
      <c r="G120" s="82" t="s">
        <v>138</v>
      </c>
      <c r="H120" s="82" t="s">
        <v>138</v>
      </c>
      <c r="I120" s="84">
        <f>67039.73464-F120</f>
        <v>81897.672019999998</v>
      </c>
      <c r="J120" s="82" t="s">
        <v>138</v>
      </c>
      <c r="K120" s="82" t="s">
        <v>138</v>
      </c>
      <c r="L120" s="84">
        <v>0</v>
      </c>
      <c r="M120" s="82" t="s">
        <v>138</v>
      </c>
      <c r="N120" s="82" t="s">
        <v>138</v>
      </c>
      <c r="O120" s="84">
        <v>0</v>
      </c>
      <c r="P120" s="82" t="s">
        <v>138</v>
      </c>
      <c r="Q120" s="82" t="s">
        <v>138</v>
      </c>
      <c r="R120" s="19"/>
      <c r="S120" s="84">
        <f>-631.94695</f>
        <v>-631.94695000000002</v>
      </c>
      <c r="T120" s="82" t="s">
        <v>138</v>
      </c>
      <c r="U120" s="82" t="s">
        <v>138</v>
      </c>
      <c r="V120" s="84">
        <v>-47082</v>
      </c>
      <c r="W120" s="82" t="s">
        <v>138</v>
      </c>
      <c r="X120" s="82" t="s">
        <v>138</v>
      </c>
      <c r="Y120" s="84"/>
      <c r="Z120" s="82" t="s">
        <v>138</v>
      </c>
      <c r="AA120" s="82" t="s">
        <v>138</v>
      </c>
      <c r="AB120" s="19"/>
    </row>
    <row r="121" spans="1:28" ht="25.5" x14ac:dyDescent="0.25">
      <c r="A121" s="15"/>
      <c r="B121" s="32" t="s">
        <v>153</v>
      </c>
      <c r="C121" s="84"/>
      <c r="D121" s="82" t="s">
        <v>138</v>
      </c>
      <c r="E121" s="83" t="s">
        <v>138</v>
      </c>
      <c r="F121" s="84"/>
      <c r="G121" s="82" t="s">
        <v>138</v>
      </c>
      <c r="H121" s="82" t="s">
        <v>138</v>
      </c>
      <c r="I121" s="84"/>
      <c r="J121" s="82" t="s">
        <v>138</v>
      </c>
      <c r="K121" s="82" t="s">
        <v>138</v>
      </c>
      <c r="L121" s="84"/>
      <c r="M121" s="82" t="s">
        <v>138</v>
      </c>
      <c r="N121" s="82" t="s">
        <v>138</v>
      </c>
      <c r="O121" s="84"/>
      <c r="P121" s="82" t="s">
        <v>138</v>
      </c>
      <c r="Q121" s="82" t="s">
        <v>138</v>
      </c>
      <c r="R121" s="19"/>
      <c r="S121" s="84"/>
      <c r="T121" s="82" t="s">
        <v>138</v>
      </c>
      <c r="U121" s="82" t="s">
        <v>138</v>
      </c>
      <c r="V121" s="84"/>
      <c r="W121" s="82" t="s">
        <v>138</v>
      </c>
      <c r="X121" s="82" t="s">
        <v>138</v>
      </c>
      <c r="Y121" s="84"/>
      <c r="Z121" s="82" t="s">
        <v>138</v>
      </c>
      <c r="AA121" s="82" t="s">
        <v>138</v>
      </c>
      <c r="AB121" s="19"/>
    </row>
    <row r="122" spans="1:28" ht="25.5" x14ac:dyDescent="0.25">
      <c r="A122" s="15"/>
      <c r="B122" s="32" t="s">
        <v>154</v>
      </c>
      <c r="C122" s="84"/>
      <c r="D122" s="89" t="s">
        <v>138</v>
      </c>
      <c r="E122" s="83" t="s">
        <v>138</v>
      </c>
      <c r="F122" s="90"/>
      <c r="G122" s="82" t="s">
        <v>138</v>
      </c>
      <c r="H122" s="82" t="s">
        <v>138</v>
      </c>
      <c r="I122" s="84"/>
      <c r="J122" s="82" t="s">
        <v>138</v>
      </c>
      <c r="K122" s="82" t="s">
        <v>138</v>
      </c>
      <c r="L122" s="91"/>
      <c r="M122" s="82" t="s">
        <v>138</v>
      </c>
      <c r="N122" s="82" t="s">
        <v>138</v>
      </c>
      <c r="O122" s="91"/>
      <c r="P122" s="82" t="s">
        <v>138</v>
      </c>
      <c r="Q122" s="82" t="s">
        <v>138</v>
      </c>
      <c r="R122" s="19"/>
      <c r="S122" s="91"/>
      <c r="T122" s="82" t="s">
        <v>138</v>
      </c>
      <c r="U122" s="82" t="s">
        <v>138</v>
      </c>
      <c r="V122" s="91"/>
      <c r="W122" s="82" t="s">
        <v>138</v>
      </c>
      <c r="X122" s="82" t="s">
        <v>138</v>
      </c>
      <c r="Y122" s="91"/>
      <c r="Z122" s="82" t="s">
        <v>138</v>
      </c>
      <c r="AA122" s="82" t="s">
        <v>138</v>
      </c>
      <c r="AB122" s="19"/>
    </row>
    <row r="123" spans="1:28" ht="20.25" customHeight="1" x14ac:dyDescent="0.25">
      <c r="A123" s="92" t="s">
        <v>155</v>
      </c>
      <c r="B123" s="93" t="s">
        <v>156</v>
      </c>
      <c r="C123" s="89">
        <f>C124+C125</f>
        <v>578762.48436</v>
      </c>
      <c r="D123" s="89" t="s">
        <v>138</v>
      </c>
      <c r="E123" s="94" t="s">
        <v>138</v>
      </c>
      <c r="F123" s="89">
        <f>F124+F125</f>
        <v>247678.92363999999</v>
      </c>
      <c r="G123" s="89" t="s">
        <v>138</v>
      </c>
      <c r="H123" s="89" t="s">
        <v>138</v>
      </c>
      <c r="I123" s="89">
        <f>I124+I125</f>
        <v>7859.2051599999904</v>
      </c>
      <c r="J123" s="89" t="s">
        <v>138</v>
      </c>
      <c r="K123" s="82" t="s">
        <v>138</v>
      </c>
      <c r="L123" s="82" t="s">
        <v>138</v>
      </c>
      <c r="M123" s="82" t="s">
        <v>138</v>
      </c>
      <c r="N123" s="89" t="s">
        <v>138</v>
      </c>
      <c r="O123" s="89" t="s">
        <v>138</v>
      </c>
      <c r="P123" s="89" t="s">
        <v>138</v>
      </c>
      <c r="Q123" s="89" t="s">
        <v>138</v>
      </c>
      <c r="R123" s="19"/>
      <c r="S123" s="89">
        <f>S124+S125</f>
        <v>590327.12960999995</v>
      </c>
      <c r="T123" s="89" t="s">
        <v>138</v>
      </c>
      <c r="U123" s="89" t="s">
        <v>138</v>
      </c>
      <c r="V123" s="89">
        <f>V124+V125</f>
        <v>444044.93100999988</v>
      </c>
      <c r="W123" s="82" t="s">
        <v>138</v>
      </c>
      <c r="X123" s="82" t="s">
        <v>138</v>
      </c>
      <c r="Y123" s="89">
        <f>Y124+Y125</f>
        <v>1479</v>
      </c>
      <c r="Z123" s="82" t="s">
        <v>138</v>
      </c>
      <c r="AA123" s="82" t="s">
        <v>138</v>
      </c>
      <c r="AB123" s="19"/>
    </row>
    <row r="124" spans="1:28" x14ac:dyDescent="0.25">
      <c r="A124" s="24"/>
      <c r="B124" s="25" t="s">
        <v>157</v>
      </c>
      <c r="C124" s="95">
        <f>6026.86109+1274</f>
        <v>7300.8610900000003</v>
      </c>
      <c r="D124" s="82" t="s">
        <v>138</v>
      </c>
      <c r="E124" s="83" t="s">
        <v>138</v>
      </c>
      <c r="F124" s="95">
        <f>51305.13212+3000+1274+45.15066+30.10046</f>
        <v>55654.383240000003</v>
      </c>
      <c r="G124" s="82" t="s">
        <v>138</v>
      </c>
      <c r="H124" s="82" t="s">
        <v>138</v>
      </c>
      <c r="I124" s="87">
        <f>7759.60753+1274+3000+30.10046+45.15666+4.95-F124</f>
        <v>-43540.568590000003</v>
      </c>
      <c r="J124" s="82" t="s">
        <v>138</v>
      </c>
      <c r="K124" s="82" t="s">
        <v>138</v>
      </c>
      <c r="L124" s="82" t="s">
        <v>138</v>
      </c>
      <c r="M124" s="82" t="s">
        <v>138</v>
      </c>
      <c r="N124" s="89" t="s">
        <v>138</v>
      </c>
      <c r="O124" s="89" t="s">
        <v>138</v>
      </c>
      <c r="P124" s="89" t="s">
        <v>138</v>
      </c>
      <c r="Q124" s="89" t="s">
        <v>138</v>
      </c>
      <c r="R124" s="19"/>
      <c r="S124" s="96">
        <f>2270.81304+1274</f>
        <v>3544.81304</v>
      </c>
      <c r="T124" s="89" t="s">
        <v>138</v>
      </c>
      <c r="U124" s="89" t="s">
        <v>138</v>
      </c>
      <c r="V124" s="96">
        <f>S124+W105</f>
        <v>1274.2130399999942</v>
      </c>
      <c r="W124" s="82" t="s">
        <v>138</v>
      </c>
      <c r="X124" s="82" t="s">
        <v>138</v>
      </c>
      <c r="Y124" s="96">
        <v>0</v>
      </c>
      <c r="Z124" s="82" t="s">
        <v>138</v>
      </c>
      <c r="AA124" s="82" t="s">
        <v>138</v>
      </c>
      <c r="AB124" s="19"/>
    </row>
    <row r="125" spans="1:28" x14ac:dyDescent="0.25">
      <c r="A125" s="97"/>
      <c r="B125" s="25" t="s">
        <v>158</v>
      </c>
      <c r="C125" s="84">
        <f>578762.48436-C124</f>
        <v>571461.62326999998</v>
      </c>
      <c r="D125" s="82" t="s">
        <v>138</v>
      </c>
      <c r="E125" s="83" t="s">
        <v>138</v>
      </c>
      <c r="F125" s="84">
        <f>192024.5404</f>
        <v>192024.5404</v>
      </c>
      <c r="G125" s="82" t="s">
        <v>138</v>
      </c>
      <c r="H125" s="82" t="s">
        <v>138</v>
      </c>
      <c r="I125" s="84">
        <f>243424.31415-F125</f>
        <v>51399.773749999993</v>
      </c>
      <c r="J125" s="82" t="s">
        <v>138</v>
      </c>
      <c r="K125" s="82" t="s">
        <v>138</v>
      </c>
      <c r="L125" s="82" t="s">
        <v>138</v>
      </c>
      <c r="M125" s="82" t="s">
        <v>138</v>
      </c>
      <c r="N125" s="82" t="s">
        <v>138</v>
      </c>
      <c r="O125" s="82" t="s">
        <v>138</v>
      </c>
      <c r="P125" s="89" t="s">
        <v>138</v>
      </c>
      <c r="Q125" s="89" t="s">
        <v>138</v>
      </c>
      <c r="R125" s="19"/>
      <c r="S125" s="91">
        <f>590327.12961-S124</f>
        <v>586782.31656999991</v>
      </c>
      <c r="T125" s="89" t="s">
        <v>138</v>
      </c>
      <c r="U125" s="89" t="s">
        <v>138</v>
      </c>
      <c r="V125" s="91">
        <f>S125+X105+V118</f>
        <v>442770.71796999988</v>
      </c>
      <c r="W125" s="82" t="s">
        <v>138</v>
      </c>
      <c r="X125" s="82" t="s">
        <v>138</v>
      </c>
      <c r="Y125" s="91">
        <v>1479</v>
      </c>
      <c r="Z125" s="82" t="s">
        <v>138</v>
      </c>
      <c r="AA125" s="82" t="s">
        <v>138</v>
      </c>
      <c r="AB125" s="19"/>
    </row>
    <row r="126" spans="1:28" x14ac:dyDescent="0.25">
      <c r="A126" s="97"/>
      <c r="B126" s="25" t="s">
        <v>7</v>
      </c>
      <c r="C126" s="84"/>
      <c r="D126" s="82"/>
      <c r="E126" s="83"/>
      <c r="F126" s="84"/>
      <c r="G126" s="82"/>
      <c r="H126" s="82"/>
      <c r="I126" s="84"/>
      <c r="J126" s="82"/>
      <c r="K126" s="82"/>
      <c r="L126" s="82"/>
      <c r="M126" s="82"/>
      <c r="N126" s="82"/>
      <c r="O126" s="82"/>
      <c r="P126" s="89"/>
      <c r="Q126" s="89"/>
      <c r="R126" s="19"/>
      <c r="S126" s="91"/>
      <c r="T126" s="89"/>
      <c r="U126" s="89"/>
      <c r="V126" s="91"/>
      <c r="W126" s="82"/>
      <c r="X126" s="82"/>
      <c r="Y126" s="91"/>
      <c r="Z126" s="82"/>
      <c r="AA126" s="82"/>
      <c r="AB126" s="19"/>
    </row>
    <row r="127" spans="1:28" ht="51.75" x14ac:dyDescent="0.25">
      <c r="A127" s="98"/>
      <c r="B127" s="21" t="s">
        <v>159</v>
      </c>
      <c r="C127" s="84">
        <v>1274</v>
      </c>
      <c r="D127" s="82" t="s">
        <v>138</v>
      </c>
      <c r="E127" s="83" t="s">
        <v>138</v>
      </c>
      <c r="F127" s="84">
        <f>3000+1274+45.15066</f>
        <v>4319.1506600000002</v>
      </c>
      <c r="G127" s="82" t="s">
        <v>138</v>
      </c>
      <c r="H127" s="82" t="s">
        <v>138</v>
      </c>
      <c r="I127" s="84">
        <f>3000+1274+45.15066-F127</f>
        <v>0</v>
      </c>
      <c r="J127" s="82" t="s">
        <v>138</v>
      </c>
      <c r="K127" s="82" t="s">
        <v>138</v>
      </c>
      <c r="L127" s="82" t="s">
        <v>138</v>
      </c>
      <c r="M127" s="82" t="s">
        <v>138</v>
      </c>
      <c r="N127" s="82" t="s">
        <v>138</v>
      </c>
      <c r="O127" s="82" t="s">
        <v>138</v>
      </c>
      <c r="P127" s="89" t="s">
        <v>138</v>
      </c>
      <c r="Q127" s="89" t="s">
        <v>138</v>
      </c>
      <c r="R127" s="19"/>
      <c r="S127" s="91">
        <v>1274</v>
      </c>
      <c r="T127" s="89" t="s">
        <v>138</v>
      </c>
      <c r="U127" s="89" t="s">
        <v>138</v>
      </c>
      <c r="V127" s="91">
        <v>1274</v>
      </c>
      <c r="W127" s="82" t="s">
        <v>138</v>
      </c>
      <c r="X127" s="82" t="s">
        <v>138</v>
      </c>
      <c r="Y127" s="91">
        <v>0</v>
      </c>
      <c r="Z127" s="82" t="s">
        <v>138</v>
      </c>
      <c r="AA127" s="82" t="s">
        <v>138</v>
      </c>
      <c r="AB127" s="19"/>
    </row>
    <row r="128" spans="1:28" s="168" customFormat="1" ht="26.25" x14ac:dyDescent="0.25">
      <c r="A128" s="98"/>
      <c r="B128" s="21" t="s">
        <v>213</v>
      </c>
      <c r="C128" s="84">
        <f>498991.51042+1340.6491</f>
        <v>500332.15951999999</v>
      </c>
      <c r="D128" s="82" t="s">
        <v>138</v>
      </c>
      <c r="E128" s="82" t="s">
        <v>138</v>
      </c>
      <c r="F128" s="84"/>
      <c r="G128" s="82" t="s">
        <v>138</v>
      </c>
      <c r="H128" s="82" t="s">
        <v>138</v>
      </c>
      <c r="I128" s="84"/>
      <c r="J128" s="82" t="s">
        <v>138</v>
      </c>
      <c r="K128" s="82" t="s">
        <v>138</v>
      </c>
      <c r="L128" s="82" t="s">
        <v>138</v>
      </c>
      <c r="M128" s="82" t="s">
        <v>138</v>
      </c>
      <c r="N128" s="82" t="s">
        <v>138</v>
      </c>
      <c r="O128" s="82" t="s">
        <v>138</v>
      </c>
      <c r="P128" s="82" t="s">
        <v>138</v>
      </c>
      <c r="Q128" s="82" t="s">
        <v>138</v>
      </c>
      <c r="R128" s="51"/>
      <c r="S128" s="91">
        <f>1479.82102+498220.39156</f>
        <v>499700.21257999999</v>
      </c>
      <c r="T128" s="82" t="s">
        <v>138</v>
      </c>
      <c r="U128" s="82" t="s">
        <v>138</v>
      </c>
      <c r="V128" s="91">
        <f>S128+V118</f>
        <v>452618.21257999999</v>
      </c>
      <c r="W128" s="82" t="s">
        <v>138</v>
      </c>
      <c r="X128" s="82" t="s">
        <v>138</v>
      </c>
      <c r="Y128" s="91">
        <v>0</v>
      </c>
      <c r="Z128" s="82" t="s">
        <v>138</v>
      </c>
      <c r="AA128" s="82" t="s">
        <v>138</v>
      </c>
      <c r="AB128" s="51"/>
    </row>
    <row r="129" spans="1:28" ht="26.25" x14ac:dyDescent="0.25">
      <c r="A129" s="92" t="s">
        <v>160</v>
      </c>
      <c r="B129" s="81" t="s">
        <v>161</v>
      </c>
      <c r="C129" s="91"/>
      <c r="D129" s="84"/>
      <c r="E129" s="99"/>
      <c r="F129" s="84"/>
      <c r="G129" s="84"/>
      <c r="H129" s="84"/>
      <c r="I129" s="84"/>
      <c r="J129" s="84"/>
      <c r="K129" s="84"/>
      <c r="L129" s="82" t="s">
        <v>138</v>
      </c>
      <c r="M129" s="82" t="s">
        <v>138</v>
      </c>
      <c r="N129" s="82" t="s">
        <v>138</v>
      </c>
      <c r="O129" s="82" t="s">
        <v>138</v>
      </c>
      <c r="P129" s="82" t="s">
        <v>138</v>
      </c>
      <c r="Q129" s="82" t="s">
        <v>138</v>
      </c>
      <c r="R129" s="100" t="s">
        <v>138</v>
      </c>
      <c r="S129" s="91"/>
      <c r="T129" s="91"/>
      <c r="U129" s="91"/>
      <c r="V129" s="91"/>
      <c r="W129" s="91"/>
      <c r="X129" s="91"/>
      <c r="Y129" s="91"/>
      <c r="Z129" s="91"/>
      <c r="AA129" s="91"/>
      <c r="AB129" s="19" t="e">
        <f t="shared" si="78"/>
        <v>#DIV/0!</v>
      </c>
    </row>
    <row r="130" spans="1:28" s="170" customFormat="1" ht="20.25" customHeight="1" x14ac:dyDescent="0.25">
      <c r="A130" s="92" t="s">
        <v>162</v>
      </c>
      <c r="B130" s="101" t="s">
        <v>163</v>
      </c>
      <c r="C130" s="102">
        <f>SUM(C131:C144)</f>
        <v>3333718.34002</v>
      </c>
      <c r="D130" s="102">
        <f t="shared" ref="D130:Z130" si="97">SUM(D131:D144)</f>
        <v>1951982.21104</v>
      </c>
      <c r="E130" s="169">
        <f>C130-D130</f>
        <v>1381736.12898</v>
      </c>
      <c r="F130" s="102">
        <f t="shared" si="97"/>
        <v>338256.83829000004</v>
      </c>
      <c r="G130" s="102">
        <f t="shared" si="97"/>
        <v>161157.53761</v>
      </c>
      <c r="H130" s="169">
        <f>F130-G130</f>
        <v>177099.30068000004</v>
      </c>
      <c r="I130" s="102">
        <f t="shared" si="97"/>
        <v>293392.52211999992</v>
      </c>
      <c r="J130" s="102">
        <f t="shared" si="97"/>
        <v>144998.31093000001</v>
      </c>
      <c r="K130" s="169">
        <f>I130-J130</f>
        <v>148394.21118999991</v>
      </c>
      <c r="L130" s="102">
        <f>SUM(L131:L144)</f>
        <v>3147176.2886099997</v>
      </c>
      <c r="M130" s="102">
        <f t="shared" si="97"/>
        <v>1741913.41864</v>
      </c>
      <c r="N130" s="169">
        <f>L130-M130</f>
        <v>1405262.8699699997</v>
      </c>
      <c r="O130" s="102">
        <f t="shared" si="97"/>
        <v>3250062.7287299996</v>
      </c>
      <c r="P130" s="102">
        <f t="shared" si="97"/>
        <v>1829008.28703</v>
      </c>
      <c r="Q130" s="169">
        <f>O130-P130</f>
        <v>1421054.4416999996</v>
      </c>
      <c r="R130" s="19">
        <f t="shared" ref="R130:R145" si="98">Q130/E130</f>
        <v>1.0284557318111269</v>
      </c>
      <c r="S130" s="104">
        <f t="shared" si="97"/>
        <v>565799.45545999997</v>
      </c>
      <c r="T130" s="104">
        <f t="shared" si="97"/>
        <v>337121.91876999993</v>
      </c>
      <c r="U130" s="169">
        <f>S130-T130</f>
        <v>228677.53669000004</v>
      </c>
      <c r="V130" s="104">
        <f t="shared" si="97"/>
        <v>235101.69999999995</v>
      </c>
      <c r="W130" s="104">
        <f t="shared" si="97"/>
        <v>133752.80000000002</v>
      </c>
      <c r="X130" s="169">
        <f>V130-W130</f>
        <v>101348.89999999994</v>
      </c>
      <c r="Y130" s="104">
        <f t="shared" si="97"/>
        <v>3573517.9655499998</v>
      </c>
      <c r="Z130" s="104">
        <f t="shared" si="97"/>
        <v>2097360.0886399997</v>
      </c>
      <c r="AA130" s="169">
        <f>Y130-Z130</f>
        <v>1476157.8769100001</v>
      </c>
      <c r="AB130" s="19">
        <f t="shared" si="78"/>
        <v>1.0683355858977954</v>
      </c>
    </row>
    <row r="131" spans="1:28" x14ac:dyDescent="0.25">
      <c r="A131" s="105"/>
      <c r="B131" s="106" t="s">
        <v>164</v>
      </c>
      <c r="C131" s="107">
        <v>352317.56187999999</v>
      </c>
      <c r="D131" s="107">
        <v>2823.3892700000001</v>
      </c>
      <c r="E131" s="103">
        <f>C131-D131</f>
        <v>349494.17261000001</v>
      </c>
      <c r="F131" s="108">
        <v>52859.724750000001</v>
      </c>
      <c r="G131" s="108">
        <f>578.55706</f>
        <v>578.55705999999998</v>
      </c>
      <c r="H131" s="103">
        <f>F131-G131</f>
        <v>52281.167690000002</v>
      </c>
      <c r="I131" s="108">
        <f>96050.01885-F131</f>
        <v>43190.294099999992</v>
      </c>
      <c r="J131" s="108">
        <f>895.69964-G131</f>
        <v>317.14258000000007</v>
      </c>
      <c r="K131" s="103">
        <f>I131-J131</f>
        <v>42873.151519999992</v>
      </c>
      <c r="L131" s="108">
        <v>363041.09779999999</v>
      </c>
      <c r="M131" s="108">
        <v>1111.0978</v>
      </c>
      <c r="N131" s="103">
        <f>L131-M131</f>
        <v>361930</v>
      </c>
      <c r="O131" s="109">
        <v>362791.09779999999</v>
      </c>
      <c r="P131" s="109">
        <v>1111.0978</v>
      </c>
      <c r="Q131" s="103">
        <f>O131-P131</f>
        <v>361680</v>
      </c>
      <c r="R131" s="19">
        <f t="shared" si="98"/>
        <v>1.034867040268503</v>
      </c>
      <c r="S131" s="110">
        <v>66579.967059999995</v>
      </c>
      <c r="T131" s="110">
        <v>171.28801000000001</v>
      </c>
      <c r="U131" s="103">
        <f>S131-T131</f>
        <v>66408.679049999992</v>
      </c>
      <c r="V131" s="110">
        <v>28415.3</v>
      </c>
      <c r="W131" s="110">
        <v>58.6</v>
      </c>
      <c r="X131" s="103">
        <f>V131-W131</f>
        <v>28356.7</v>
      </c>
      <c r="Y131" s="110">
        <v>373014.13909999997</v>
      </c>
      <c r="Z131" s="110">
        <v>1111.0978</v>
      </c>
      <c r="AA131" s="103">
        <f>Y131-Z131</f>
        <v>371903.04129999998</v>
      </c>
      <c r="AB131" s="19">
        <f t="shared" si="78"/>
        <v>1.0641180038071936</v>
      </c>
    </row>
    <row r="132" spans="1:28" x14ac:dyDescent="0.25">
      <c r="A132" s="105"/>
      <c r="B132" s="111" t="s">
        <v>165</v>
      </c>
      <c r="C132" s="107">
        <v>4804.4948100000001</v>
      </c>
      <c r="D132" s="107">
        <v>2169.3738499999999</v>
      </c>
      <c r="E132" s="103">
        <f t="shared" ref="E132:E144" si="99">C132-D132</f>
        <v>2635.1209600000002</v>
      </c>
      <c r="F132" s="112">
        <f>184.59842</f>
        <v>184.59842</v>
      </c>
      <c r="G132" s="112">
        <f>F132</f>
        <v>184.59842</v>
      </c>
      <c r="H132" s="103">
        <f t="shared" ref="H132:H144" si="100">F132-G132</f>
        <v>0</v>
      </c>
      <c r="I132" s="112">
        <f>301.64354-F132</f>
        <v>117.04511999999997</v>
      </c>
      <c r="J132" s="112">
        <f>301.64354-G132</f>
        <v>117.04511999999997</v>
      </c>
      <c r="K132" s="103">
        <f t="shared" ref="K132:K144" si="101">I132-J132</f>
        <v>0</v>
      </c>
      <c r="L132" s="112">
        <v>2501.2058000000002</v>
      </c>
      <c r="M132" s="112">
        <v>2501.2058000000002</v>
      </c>
      <c r="N132" s="103">
        <f t="shared" ref="N132:N144" si="102">L132-M132</f>
        <v>0</v>
      </c>
      <c r="O132" s="113">
        <v>2567.10646</v>
      </c>
      <c r="P132" s="113">
        <v>2567.10646</v>
      </c>
      <c r="Q132" s="103">
        <f t="shared" ref="Q132:Q144" si="103">O132-P132</f>
        <v>0</v>
      </c>
      <c r="R132" s="19">
        <f t="shared" si="98"/>
        <v>0</v>
      </c>
      <c r="S132" s="95">
        <v>357.87502000000001</v>
      </c>
      <c r="T132" s="95">
        <v>357.87502000000001</v>
      </c>
      <c r="U132" s="103">
        <f t="shared" ref="U132:U144" si="104">S132-T132</f>
        <v>0</v>
      </c>
      <c r="V132" s="95">
        <v>398.2</v>
      </c>
      <c r="W132" s="95">
        <f>V132</f>
        <v>398.2</v>
      </c>
      <c r="X132" s="103">
        <f t="shared" ref="X132:X144" si="105">V132-W132</f>
        <v>0</v>
      </c>
      <c r="Y132" s="110">
        <v>2567.0646000000002</v>
      </c>
      <c r="Z132" s="110">
        <f>Y132</f>
        <v>2567.0646000000002</v>
      </c>
      <c r="AA132" s="103">
        <f t="shared" ref="AA132:AA144" si="106">Y132-Z132</f>
        <v>0</v>
      </c>
      <c r="AB132" s="19">
        <f t="shared" si="78"/>
        <v>0</v>
      </c>
    </row>
    <row r="133" spans="1:28" x14ac:dyDescent="0.25">
      <c r="A133" s="105"/>
      <c r="B133" s="111" t="s">
        <v>166</v>
      </c>
      <c r="C133" s="95">
        <v>15386.383180000001</v>
      </c>
      <c r="D133" s="95">
        <v>2829.6790299999998</v>
      </c>
      <c r="E133" s="103">
        <f t="shared" si="99"/>
        <v>12556.704150000001</v>
      </c>
      <c r="F133" s="112">
        <f>2556.41286</f>
        <v>2556.4128599999999</v>
      </c>
      <c r="G133" s="112">
        <f>374.64547</f>
        <v>374.64546999999999</v>
      </c>
      <c r="H133" s="103">
        <f t="shared" si="100"/>
        <v>2181.76739</v>
      </c>
      <c r="I133" s="112">
        <f>3947.68931-F133</f>
        <v>1391.2764500000003</v>
      </c>
      <c r="J133" s="112">
        <f>614.34737-G133</f>
        <v>239.70189999999997</v>
      </c>
      <c r="K133" s="103">
        <f t="shared" si="101"/>
        <v>1151.5745500000003</v>
      </c>
      <c r="L133" s="112">
        <v>19294.286479999999</v>
      </c>
      <c r="M133" s="112">
        <v>3099.3864800000001</v>
      </c>
      <c r="N133" s="103">
        <f t="shared" si="102"/>
        <v>16194.899999999998</v>
      </c>
      <c r="O133" s="113">
        <v>19294.286479999999</v>
      </c>
      <c r="P133" s="113">
        <v>3099.3864800000001</v>
      </c>
      <c r="Q133" s="103">
        <f t="shared" si="103"/>
        <v>16194.899999999998</v>
      </c>
      <c r="R133" s="19">
        <f t="shared" si="98"/>
        <v>1.2897413052452937</v>
      </c>
      <c r="S133" s="95">
        <v>4270.2707</v>
      </c>
      <c r="T133" s="95">
        <v>587.59806000000003</v>
      </c>
      <c r="U133" s="103">
        <f t="shared" si="104"/>
        <v>3682.6726399999998</v>
      </c>
      <c r="V133" s="95">
        <v>1823.5</v>
      </c>
      <c r="W133" s="95">
        <v>201</v>
      </c>
      <c r="X133" s="103">
        <f t="shared" si="105"/>
        <v>1622.5</v>
      </c>
      <c r="Y133" s="110">
        <v>20025.18648</v>
      </c>
      <c r="Z133" s="110">
        <v>3099.3864800000001</v>
      </c>
      <c r="AA133" s="103">
        <f t="shared" si="106"/>
        <v>16925.8</v>
      </c>
      <c r="AB133" s="19">
        <f t="shared" si="78"/>
        <v>1.3479492546617018</v>
      </c>
    </row>
    <row r="134" spans="1:28" x14ac:dyDescent="0.25">
      <c r="A134" s="105"/>
      <c r="B134" s="111" t="s">
        <v>167</v>
      </c>
      <c r="C134" s="113">
        <v>134302.01684</v>
      </c>
      <c r="D134" s="113">
        <v>56925.578119999998</v>
      </c>
      <c r="E134" s="103">
        <f t="shared" si="99"/>
        <v>77376.438720000006</v>
      </c>
      <c r="F134" s="112">
        <f>10398.35586</f>
        <v>10398.35586</v>
      </c>
      <c r="G134" s="112">
        <f>328.47398</f>
        <v>328.47397999999998</v>
      </c>
      <c r="H134" s="103">
        <f t="shared" si="100"/>
        <v>10069.881879999999</v>
      </c>
      <c r="I134" s="112">
        <f>16442.40156-F134</f>
        <v>6044.0456999999988</v>
      </c>
      <c r="J134" s="112">
        <f>629.87998-G134</f>
        <v>301.40600000000006</v>
      </c>
      <c r="K134" s="103">
        <f t="shared" si="101"/>
        <v>5742.6396999999988</v>
      </c>
      <c r="L134" s="112">
        <v>114752.37227000001</v>
      </c>
      <c r="M134" s="112">
        <v>52146.37227</v>
      </c>
      <c r="N134" s="103">
        <f t="shared" si="102"/>
        <v>62606.000000000007</v>
      </c>
      <c r="O134" s="113">
        <v>123521.8069</v>
      </c>
      <c r="P134" s="113">
        <v>60399.23517</v>
      </c>
      <c r="Q134" s="103">
        <f t="shared" si="103"/>
        <v>63122.571729999996</v>
      </c>
      <c r="R134" s="19">
        <f t="shared" si="98"/>
        <v>0.81578543512993551</v>
      </c>
      <c r="S134" s="95">
        <v>13733.458430000001</v>
      </c>
      <c r="T134" s="95">
        <v>6126.3411999999998</v>
      </c>
      <c r="U134" s="103">
        <f t="shared" si="104"/>
        <v>7607.1172300000007</v>
      </c>
      <c r="V134" s="95">
        <v>4711.2</v>
      </c>
      <c r="W134" s="95">
        <v>2411.1999999999998</v>
      </c>
      <c r="X134" s="103">
        <f t="shared" si="105"/>
        <v>2300</v>
      </c>
      <c r="Y134" s="110">
        <v>124558.74832</v>
      </c>
      <c r="Z134" s="110">
        <v>60169.254379999998</v>
      </c>
      <c r="AA134" s="103">
        <f t="shared" si="106"/>
        <v>64389.49394</v>
      </c>
      <c r="AB134" s="19">
        <f t="shared" si="78"/>
        <v>0.83215892337723751</v>
      </c>
    </row>
    <row r="135" spans="1:28" x14ac:dyDescent="0.25">
      <c r="A135" s="105"/>
      <c r="B135" s="111" t="s">
        <v>168</v>
      </c>
      <c r="C135" s="113">
        <v>560201.83079000004</v>
      </c>
      <c r="D135" s="113">
        <v>304711.04715</v>
      </c>
      <c r="E135" s="103">
        <f t="shared" si="99"/>
        <v>255490.78364000004</v>
      </c>
      <c r="F135" s="112">
        <f>16249.21934</f>
        <v>16249.21934</v>
      </c>
      <c r="G135" s="112">
        <f>866.11367</f>
        <v>866.11366999999996</v>
      </c>
      <c r="H135" s="103">
        <f t="shared" si="100"/>
        <v>15383.105669999999</v>
      </c>
      <c r="I135" s="112">
        <f>28737.53607-F135</f>
        <v>12488.316729999999</v>
      </c>
      <c r="J135" s="112">
        <f>1298.60928-G135</f>
        <v>432.49560999999994</v>
      </c>
      <c r="K135" s="103">
        <f t="shared" si="101"/>
        <v>12055.821119999999</v>
      </c>
      <c r="L135" s="112">
        <v>270607.20919999998</v>
      </c>
      <c r="M135" s="112">
        <v>60062.639199999998</v>
      </c>
      <c r="N135" s="103">
        <f t="shared" si="102"/>
        <v>210544.56999999998</v>
      </c>
      <c r="O135" s="113">
        <v>342044.9437</v>
      </c>
      <c r="P135" s="113">
        <v>115925.3737</v>
      </c>
      <c r="Q135" s="103">
        <f t="shared" si="103"/>
        <v>226119.57</v>
      </c>
      <c r="R135" s="19">
        <f t="shared" si="98"/>
        <v>0.88504002680039673</v>
      </c>
      <c r="S135" s="95">
        <v>95399.50808</v>
      </c>
      <c r="T135" s="95">
        <v>57911.661289999996</v>
      </c>
      <c r="U135" s="103">
        <f t="shared" si="104"/>
        <v>37487.846790000003</v>
      </c>
      <c r="V135" s="95">
        <f>30413+7415.6</f>
        <v>37828.6</v>
      </c>
      <c r="W135" s="95">
        <f>30413</f>
        <v>30413</v>
      </c>
      <c r="X135" s="103">
        <f t="shared" si="105"/>
        <v>7415.5999999999985</v>
      </c>
      <c r="Y135" s="110">
        <f>368801.56715+30412.6</f>
        <v>399214.16714999999</v>
      </c>
      <c r="Z135" s="110">
        <f>128775.23396+30413</f>
        <v>159188.23395999998</v>
      </c>
      <c r="AA135" s="103">
        <f t="shared" si="106"/>
        <v>240025.93319000001</v>
      </c>
      <c r="AB135" s="19">
        <f t="shared" si="78"/>
        <v>0.93947002616035336</v>
      </c>
    </row>
    <row r="136" spans="1:28" x14ac:dyDescent="0.25">
      <c r="A136" s="105"/>
      <c r="B136" s="111" t="s">
        <v>169</v>
      </c>
      <c r="C136" s="113">
        <v>2511.1727999999998</v>
      </c>
      <c r="D136" s="113">
        <v>0</v>
      </c>
      <c r="E136" s="103">
        <f t="shared" si="99"/>
        <v>2511.1727999999998</v>
      </c>
      <c r="F136" s="112">
        <v>0</v>
      </c>
      <c r="G136" s="112"/>
      <c r="H136" s="103">
        <f t="shared" si="100"/>
        <v>0</v>
      </c>
      <c r="I136" s="112">
        <f>0-F136</f>
        <v>0</v>
      </c>
      <c r="J136" s="112">
        <v>0</v>
      </c>
      <c r="K136" s="103">
        <f t="shared" si="101"/>
        <v>0</v>
      </c>
      <c r="L136" s="112">
        <v>12500</v>
      </c>
      <c r="M136" s="112">
        <v>0</v>
      </c>
      <c r="N136" s="103">
        <f t="shared" si="102"/>
        <v>12500</v>
      </c>
      <c r="O136" s="113">
        <v>17373.333330000001</v>
      </c>
      <c r="P136" s="113">
        <v>4823.3333300000004</v>
      </c>
      <c r="Q136" s="103">
        <f t="shared" si="103"/>
        <v>12550</v>
      </c>
      <c r="R136" s="19">
        <f t="shared" si="98"/>
        <v>4.9976648361275657</v>
      </c>
      <c r="S136" s="95">
        <v>50</v>
      </c>
      <c r="T136" s="95"/>
      <c r="U136" s="103">
        <f t="shared" si="104"/>
        <v>50</v>
      </c>
      <c r="V136" s="95">
        <v>50</v>
      </c>
      <c r="W136" s="95"/>
      <c r="X136" s="103">
        <f t="shared" si="105"/>
        <v>50</v>
      </c>
      <c r="Y136" s="110">
        <v>23702.769840000001</v>
      </c>
      <c r="Z136" s="110">
        <v>4823.3333300000004</v>
      </c>
      <c r="AA136" s="103">
        <f t="shared" si="106"/>
        <v>18879.43651</v>
      </c>
      <c r="AB136" s="19">
        <f t="shared" si="78"/>
        <v>7.5181749778430227</v>
      </c>
    </row>
    <row r="137" spans="1:28" x14ac:dyDescent="0.25">
      <c r="A137" s="105"/>
      <c r="B137" s="111" t="s">
        <v>170</v>
      </c>
      <c r="C137" s="113">
        <v>1601674.93579</v>
      </c>
      <c r="D137" s="113">
        <v>1095160.5503</v>
      </c>
      <c r="E137" s="103">
        <f t="shared" si="99"/>
        <v>506514.38549000002</v>
      </c>
      <c r="F137" s="112">
        <f>201486.97351</f>
        <v>201486.97351000001</v>
      </c>
      <c r="G137" s="112">
        <f>124490.81873</f>
        <v>124490.81873</v>
      </c>
      <c r="H137" s="103">
        <f t="shared" si="100"/>
        <v>76996.154780000012</v>
      </c>
      <c r="I137" s="112">
        <f>394792.32739-F137</f>
        <v>193305.35387999998</v>
      </c>
      <c r="J137" s="112">
        <f>253536.37101-G137</f>
        <v>129045.55228</v>
      </c>
      <c r="K137" s="103">
        <f t="shared" si="101"/>
        <v>64259.801599999977</v>
      </c>
      <c r="L137" s="112">
        <v>1637257.89897</v>
      </c>
      <c r="M137" s="112">
        <v>1119062.399</v>
      </c>
      <c r="N137" s="103">
        <f t="shared" si="102"/>
        <v>518195.49997</v>
      </c>
      <c r="O137" s="113">
        <v>1655417.93597</v>
      </c>
      <c r="P137" s="113">
        <v>1137152.436</v>
      </c>
      <c r="Q137" s="103">
        <f t="shared" si="103"/>
        <v>518265.49997</v>
      </c>
      <c r="R137" s="19">
        <f t="shared" si="98"/>
        <v>1.0231999619687642</v>
      </c>
      <c r="S137" s="95">
        <v>300869.38232999999</v>
      </c>
      <c r="T137" s="95">
        <v>220509.55773999999</v>
      </c>
      <c r="U137" s="103">
        <f t="shared" si="104"/>
        <v>80359.824590000004</v>
      </c>
      <c r="V137" s="95">
        <f>41522+81478.3</f>
        <v>123000.3</v>
      </c>
      <c r="W137" s="95">
        <f>25805+74125.3-21274</f>
        <v>78656.3</v>
      </c>
      <c r="X137" s="103">
        <f t="shared" si="105"/>
        <v>44344</v>
      </c>
      <c r="Y137" s="110">
        <v>1892393.93597</v>
      </c>
      <c r="Z137" s="110">
        <v>1359242.0360000001</v>
      </c>
      <c r="AA137" s="103">
        <f t="shared" si="106"/>
        <v>533151.89996999991</v>
      </c>
      <c r="AB137" s="19">
        <f t="shared" si="78"/>
        <v>1.0525898478761484</v>
      </c>
    </row>
    <row r="138" spans="1:28" x14ac:dyDescent="0.25">
      <c r="A138" s="105"/>
      <c r="B138" s="111" t="s">
        <v>171</v>
      </c>
      <c r="C138" s="113">
        <v>447311.87654000003</v>
      </c>
      <c r="D138" s="113">
        <v>348960.60313</v>
      </c>
      <c r="E138" s="103">
        <f t="shared" si="99"/>
        <v>98351.273410000023</v>
      </c>
      <c r="F138" s="112">
        <f>24604.95674</f>
        <v>24604.956740000001</v>
      </c>
      <c r="G138" s="112">
        <f>12714.4004</f>
        <v>12714.4004</v>
      </c>
      <c r="H138" s="103">
        <f t="shared" si="100"/>
        <v>11890.556340000001</v>
      </c>
      <c r="I138" s="112">
        <f>42270.30541-F138</f>
        <v>17665.348669999999</v>
      </c>
      <c r="J138" s="112">
        <f>17866.80623-G138</f>
        <v>5152.4058299999979</v>
      </c>
      <c r="K138" s="103">
        <f t="shared" si="101"/>
        <v>12512.942840000002</v>
      </c>
      <c r="L138" s="112">
        <v>466622.26309000002</v>
      </c>
      <c r="M138" s="112">
        <v>367173.76309000002</v>
      </c>
      <c r="N138" s="103">
        <f t="shared" si="102"/>
        <v>99448.5</v>
      </c>
      <c r="O138" s="113">
        <v>466622.26309000002</v>
      </c>
      <c r="P138" s="113">
        <v>367173.76309000002</v>
      </c>
      <c r="Q138" s="103">
        <f t="shared" si="103"/>
        <v>99448.5</v>
      </c>
      <c r="R138" s="19">
        <f t="shared" si="98"/>
        <v>1.011156201154874</v>
      </c>
      <c r="S138" s="95">
        <v>37481.4303</v>
      </c>
      <c r="T138" s="95">
        <v>22989.599999999999</v>
      </c>
      <c r="U138" s="103">
        <f t="shared" si="104"/>
        <v>14491.830300000001</v>
      </c>
      <c r="V138" s="95">
        <v>18963</v>
      </c>
      <c r="W138" s="95">
        <v>11745.3</v>
      </c>
      <c r="X138" s="103">
        <f t="shared" si="105"/>
        <v>7217.7000000000007</v>
      </c>
      <c r="Y138" s="110">
        <v>470413.38309000002</v>
      </c>
      <c r="Z138" s="110">
        <f>367173.76309+1274</f>
        <v>368447.76309000002</v>
      </c>
      <c r="AA138" s="103">
        <f t="shared" si="106"/>
        <v>101965.62</v>
      </c>
      <c r="AB138" s="19">
        <f t="shared" si="78"/>
        <v>1.0367493624097039</v>
      </c>
    </row>
    <row r="139" spans="1:28" x14ac:dyDescent="0.25">
      <c r="A139" s="105"/>
      <c r="B139" s="111" t="s">
        <v>172</v>
      </c>
      <c r="C139" s="113"/>
      <c r="D139" s="113"/>
      <c r="E139" s="103">
        <f t="shared" si="99"/>
        <v>0</v>
      </c>
      <c r="F139" s="112"/>
      <c r="G139" s="112"/>
      <c r="H139" s="103">
        <f t="shared" si="100"/>
        <v>0</v>
      </c>
      <c r="I139" s="112"/>
      <c r="J139" s="112"/>
      <c r="K139" s="103">
        <f t="shared" si="101"/>
        <v>0</v>
      </c>
      <c r="L139" s="112"/>
      <c r="M139" s="112"/>
      <c r="N139" s="103">
        <f t="shared" si="102"/>
        <v>0</v>
      </c>
      <c r="O139" s="113"/>
      <c r="P139" s="113"/>
      <c r="Q139" s="103">
        <f t="shared" si="103"/>
        <v>0</v>
      </c>
      <c r="R139" s="19" t="e">
        <f t="shared" si="98"/>
        <v>#DIV/0!</v>
      </c>
      <c r="S139" s="95"/>
      <c r="T139" s="95"/>
      <c r="U139" s="103">
        <f t="shared" si="104"/>
        <v>0</v>
      </c>
      <c r="V139" s="95"/>
      <c r="W139" s="95"/>
      <c r="X139" s="103">
        <f t="shared" si="105"/>
        <v>0</v>
      </c>
      <c r="Y139" s="110"/>
      <c r="Z139" s="110"/>
      <c r="AA139" s="103">
        <f t="shared" si="106"/>
        <v>0</v>
      </c>
      <c r="AB139" s="19" t="e">
        <f t="shared" si="78"/>
        <v>#DIV/0!</v>
      </c>
    </row>
    <row r="140" spans="1:28" x14ac:dyDescent="0.25">
      <c r="A140" s="105"/>
      <c r="B140" s="111" t="s">
        <v>173</v>
      </c>
      <c r="C140" s="113">
        <v>88709.376969999998</v>
      </c>
      <c r="D140" s="113">
        <v>82848.399619999997</v>
      </c>
      <c r="E140" s="103">
        <f t="shared" si="99"/>
        <v>5860.977350000001</v>
      </c>
      <c r="F140" s="112">
        <f>19182.6001</f>
        <v>19182.6001</v>
      </c>
      <c r="G140" s="112">
        <f>18375.76781</f>
        <v>18375.767810000001</v>
      </c>
      <c r="H140" s="103">
        <f t="shared" si="100"/>
        <v>806.83228999999847</v>
      </c>
      <c r="I140" s="112">
        <f>27447.62537-F140</f>
        <v>8265.0252700000019</v>
      </c>
      <c r="J140" s="112">
        <f>26240.017-G140</f>
        <v>7864.2491899999986</v>
      </c>
      <c r="K140" s="103">
        <f t="shared" si="101"/>
        <v>400.77608000000328</v>
      </c>
      <c r="L140" s="112">
        <v>116408.655</v>
      </c>
      <c r="M140" s="112">
        <v>110608.855</v>
      </c>
      <c r="N140" s="103">
        <f t="shared" si="102"/>
        <v>5799.8000000000029</v>
      </c>
      <c r="O140" s="113">
        <v>116308.655</v>
      </c>
      <c r="P140" s="113">
        <v>110608.855</v>
      </c>
      <c r="Q140" s="103">
        <f t="shared" si="103"/>
        <v>5699.8000000000029</v>
      </c>
      <c r="R140" s="19">
        <f t="shared" si="98"/>
        <v>0.97249991931806423</v>
      </c>
      <c r="S140" s="95">
        <v>23514.13697</v>
      </c>
      <c r="T140" s="95">
        <v>22487.52245</v>
      </c>
      <c r="U140" s="103">
        <f t="shared" si="104"/>
        <v>1026.6145199999992</v>
      </c>
      <c r="V140" s="95">
        <v>9125.2999999999993</v>
      </c>
      <c r="W140" s="95">
        <v>8079.6</v>
      </c>
      <c r="X140" s="103">
        <f t="shared" si="105"/>
        <v>1045.6999999999989</v>
      </c>
      <c r="Y140" s="110">
        <v>117029.655</v>
      </c>
      <c r="Z140" s="110">
        <v>110608.855</v>
      </c>
      <c r="AA140" s="103">
        <f t="shared" si="106"/>
        <v>6420.8000000000029</v>
      </c>
      <c r="AB140" s="19">
        <f t="shared" si="78"/>
        <v>1.0955169447976116</v>
      </c>
    </row>
    <row r="141" spans="1:28" x14ac:dyDescent="0.25">
      <c r="A141" s="105"/>
      <c r="B141" s="111" t="s">
        <v>174</v>
      </c>
      <c r="C141" s="113">
        <v>119302.32921</v>
      </c>
      <c r="D141" s="113">
        <v>55553.59057</v>
      </c>
      <c r="E141" s="103">
        <f t="shared" si="99"/>
        <v>63748.738639999996</v>
      </c>
      <c r="F141" s="112">
        <f>9506.92644</f>
        <v>9506.9264399999993</v>
      </c>
      <c r="G141" s="112">
        <f>3244.16207</f>
        <v>3244.1620699999999</v>
      </c>
      <c r="H141" s="103">
        <f t="shared" si="100"/>
        <v>6262.764369999999</v>
      </c>
      <c r="I141" s="112">
        <f>18401.34064-F141</f>
        <v>8894.4141999999993</v>
      </c>
      <c r="J141" s="112">
        <f>4772.47449-G141</f>
        <v>1528.3124199999997</v>
      </c>
      <c r="K141" s="103">
        <f t="shared" si="101"/>
        <v>7366.1017799999991</v>
      </c>
      <c r="L141" s="112">
        <v>135838.79999999999</v>
      </c>
      <c r="M141" s="112">
        <v>26147.7</v>
      </c>
      <c r="N141" s="103">
        <f t="shared" si="102"/>
        <v>109691.09999999999</v>
      </c>
      <c r="O141" s="113">
        <v>135768.79999999999</v>
      </c>
      <c r="P141" s="113">
        <v>26147.7</v>
      </c>
      <c r="Q141" s="103">
        <f t="shared" si="103"/>
        <v>109621.09999999999</v>
      </c>
      <c r="R141" s="19">
        <f t="shared" si="98"/>
        <v>1.7195806903576405</v>
      </c>
      <c r="S141" s="95">
        <v>21743.374500000002</v>
      </c>
      <c r="T141" s="95">
        <v>5980.4750000000004</v>
      </c>
      <c r="U141" s="103">
        <f t="shared" si="104"/>
        <v>15762.899500000001</v>
      </c>
      <c r="V141" s="95">
        <v>9786.2999999999993</v>
      </c>
      <c r="W141" s="95">
        <v>1789.6</v>
      </c>
      <c r="X141" s="103">
        <f t="shared" si="105"/>
        <v>7996.6999999999989</v>
      </c>
      <c r="Y141" s="110">
        <v>142246.416</v>
      </c>
      <c r="Z141" s="110">
        <f>27868.064+235</f>
        <v>28103.063999999998</v>
      </c>
      <c r="AA141" s="103">
        <f t="shared" si="106"/>
        <v>114143.352</v>
      </c>
      <c r="AB141" s="19">
        <f t="shared" si="78"/>
        <v>1.7905193802278503</v>
      </c>
    </row>
    <row r="142" spans="1:28" x14ac:dyDescent="0.25">
      <c r="A142" s="105"/>
      <c r="B142" s="111" t="s">
        <v>175</v>
      </c>
      <c r="C142" s="113">
        <v>7093</v>
      </c>
      <c r="D142" s="113">
        <v>0</v>
      </c>
      <c r="E142" s="103">
        <f t="shared" si="99"/>
        <v>7093</v>
      </c>
      <c r="F142" s="112">
        <f>1227.07027</f>
        <v>1227.0702699999999</v>
      </c>
      <c r="G142" s="112"/>
      <c r="H142" s="103">
        <f t="shared" si="100"/>
        <v>1227.0702699999999</v>
      </c>
      <c r="I142" s="112">
        <f>3258.47227-F142</f>
        <v>2031.4020000000003</v>
      </c>
      <c r="J142" s="112"/>
      <c r="K142" s="103">
        <f t="shared" si="101"/>
        <v>2031.4020000000003</v>
      </c>
      <c r="L142" s="112">
        <v>8127.2</v>
      </c>
      <c r="M142" s="112">
        <v>0</v>
      </c>
      <c r="N142" s="103">
        <f t="shared" si="102"/>
        <v>8127.2</v>
      </c>
      <c r="O142" s="113">
        <v>8127.2</v>
      </c>
      <c r="P142" s="113">
        <v>0</v>
      </c>
      <c r="Q142" s="103">
        <f t="shared" si="103"/>
        <v>8127.2</v>
      </c>
      <c r="R142" s="19">
        <f t="shared" si="98"/>
        <v>1.1458057239531934</v>
      </c>
      <c r="S142" s="95">
        <v>1800.05207</v>
      </c>
      <c r="T142" s="95"/>
      <c r="U142" s="103">
        <f t="shared" si="104"/>
        <v>1800.05207</v>
      </c>
      <c r="V142" s="95">
        <v>1000</v>
      </c>
      <c r="W142" s="95">
        <v>0</v>
      </c>
      <c r="X142" s="103">
        <f t="shared" si="105"/>
        <v>1000</v>
      </c>
      <c r="Y142" s="110">
        <v>8127.2</v>
      </c>
      <c r="Z142" s="110">
        <v>0</v>
      </c>
      <c r="AA142" s="103">
        <f t="shared" si="106"/>
        <v>8127.2</v>
      </c>
      <c r="AB142" s="19">
        <f t="shared" si="78"/>
        <v>1.1458057239531934</v>
      </c>
    </row>
    <row r="143" spans="1:28" x14ac:dyDescent="0.25">
      <c r="A143" s="105"/>
      <c r="B143" s="111" t="s">
        <v>176</v>
      </c>
      <c r="C143" s="113">
        <v>103.36121</v>
      </c>
      <c r="D143" s="113">
        <v>0</v>
      </c>
      <c r="E143" s="103">
        <f t="shared" si="99"/>
        <v>103.36121</v>
      </c>
      <c r="F143" s="112">
        <v>0</v>
      </c>
      <c r="G143" s="112"/>
      <c r="H143" s="103">
        <f t="shared" si="100"/>
        <v>0</v>
      </c>
      <c r="I143" s="112">
        <f>0-F143</f>
        <v>0</v>
      </c>
      <c r="J143" s="112"/>
      <c r="K143" s="103">
        <f t="shared" si="101"/>
        <v>0</v>
      </c>
      <c r="L143" s="112">
        <v>225.3</v>
      </c>
      <c r="M143" s="112">
        <v>0</v>
      </c>
      <c r="N143" s="103">
        <f t="shared" si="102"/>
        <v>225.3</v>
      </c>
      <c r="O143" s="113">
        <v>225.3</v>
      </c>
      <c r="P143" s="113">
        <v>0</v>
      </c>
      <c r="Q143" s="103">
        <f t="shared" si="103"/>
        <v>225.3</v>
      </c>
      <c r="R143" s="19">
        <f t="shared" si="98"/>
        <v>2.1797345445162648</v>
      </c>
      <c r="S143" s="95">
        <v>0</v>
      </c>
      <c r="T143" s="95"/>
      <c r="U143" s="103">
        <f t="shared" si="104"/>
        <v>0</v>
      </c>
      <c r="V143" s="95">
        <v>0</v>
      </c>
      <c r="W143" s="95"/>
      <c r="X143" s="103">
        <f t="shared" si="105"/>
        <v>0</v>
      </c>
      <c r="Y143" s="110">
        <v>225.3</v>
      </c>
      <c r="Z143" s="110"/>
      <c r="AA143" s="103">
        <f t="shared" si="106"/>
        <v>225.3</v>
      </c>
      <c r="AB143" s="19">
        <f t="shared" si="78"/>
        <v>2.1797345445162648</v>
      </c>
    </row>
    <row r="144" spans="1:28" x14ac:dyDescent="0.25">
      <c r="A144" s="105"/>
      <c r="B144" s="111" t="s">
        <v>177</v>
      </c>
      <c r="C144" s="113"/>
      <c r="D144" s="113"/>
      <c r="E144" s="103">
        <f t="shared" si="99"/>
        <v>0</v>
      </c>
      <c r="F144" s="112"/>
      <c r="G144" s="112"/>
      <c r="H144" s="103">
        <f t="shared" si="100"/>
        <v>0</v>
      </c>
      <c r="I144" s="112"/>
      <c r="J144" s="112"/>
      <c r="K144" s="103">
        <f t="shared" si="101"/>
        <v>0</v>
      </c>
      <c r="L144" s="112"/>
      <c r="M144" s="112"/>
      <c r="N144" s="103">
        <f t="shared" si="102"/>
        <v>0</v>
      </c>
      <c r="O144" s="113"/>
      <c r="P144" s="113"/>
      <c r="Q144" s="103">
        <f t="shared" si="103"/>
        <v>0</v>
      </c>
      <c r="R144" s="19" t="e">
        <f t="shared" si="98"/>
        <v>#DIV/0!</v>
      </c>
      <c r="S144" s="95"/>
      <c r="T144" s="95"/>
      <c r="U144" s="103">
        <f t="shared" si="104"/>
        <v>0</v>
      </c>
      <c r="V144" s="95"/>
      <c r="W144" s="95"/>
      <c r="X144" s="103">
        <f t="shared" si="105"/>
        <v>0</v>
      </c>
      <c r="Y144" s="110"/>
      <c r="Z144" s="110"/>
      <c r="AA144" s="103">
        <f t="shared" si="106"/>
        <v>0</v>
      </c>
      <c r="AB144" s="19" t="e">
        <f t="shared" si="78"/>
        <v>#DIV/0!</v>
      </c>
    </row>
    <row r="145" spans="1:28" x14ac:dyDescent="0.25">
      <c r="A145" s="105"/>
      <c r="B145" s="114" t="s">
        <v>178</v>
      </c>
      <c r="C145" s="115">
        <f>SUM(C131:C144)</f>
        <v>3333718.34002</v>
      </c>
      <c r="D145" s="115">
        <f t="shared" ref="D145:AA145" si="107">SUM(D131:D144)</f>
        <v>1951982.21104</v>
      </c>
      <c r="E145" s="116">
        <f t="shared" si="107"/>
        <v>1381736.1289799998</v>
      </c>
      <c r="F145" s="115">
        <f t="shared" si="107"/>
        <v>338256.83829000004</v>
      </c>
      <c r="G145" s="115">
        <f t="shared" si="107"/>
        <v>161157.53761</v>
      </c>
      <c r="H145" s="115">
        <f t="shared" si="107"/>
        <v>177099.30068000001</v>
      </c>
      <c r="I145" s="115">
        <f t="shared" si="107"/>
        <v>293392.52211999992</v>
      </c>
      <c r="J145" s="115">
        <f t="shared" si="107"/>
        <v>144998.31093000001</v>
      </c>
      <c r="K145" s="115">
        <f t="shared" si="107"/>
        <v>148394.21118999997</v>
      </c>
      <c r="L145" s="115">
        <f t="shared" si="107"/>
        <v>3147176.2886099997</v>
      </c>
      <c r="M145" s="115">
        <f t="shared" si="107"/>
        <v>1741913.41864</v>
      </c>
      <c r="N145" s="115">
        <f t="shared" si="107"/>
        <v>1405262.8699700001</v>
      </c>
      <c r="O145" s="115">
        <f t="shared" si="107"/>
        <v>3250062.7287299996</v>
      </c>
      <c r="P145" s="115">
        <f t="shared" si="107"/>
        <v>1829008.28703</v>
      </c>
      <c r="Q145" s="115">
        <f t="shared" si="107"/>
        <v>1421054.4417000001</v>
      </c>
      <c r="R145" s="19">
        <f t="shared" si="98"/>
        <v>1.0284557318111274</v>
      </c>
      <c r="S145" s="115">
        <f t="shared" si="107"/>
        <v>565799.45545999997</v>
      </c>
      <c r="T145" s="115">
        <f t="shared" si="107"/>
        <v>337121.91876999993</v>
      </c>
      <c r="U145" s="115">
        <f t="shared" si="107"/>
        <v>228677.53669000001</v>
      </c>
      <c r="V145" s="115">
        <f t="shared" si="107"/>
        <v>235101.69999999995</v>
      </c>
      <c r="W145" s="115">
        <f t="shared" si="107"/>
        <v>133752.80000000002</v>
      </c>
      <c r="X145" s="115">
        <f t="shared" si="107"/>
        <v>101348.9</v>
      </c>
      <c r="Y145" s="115">
        <f t="shared" si="107"/>
        <v>3573517.9655499998</v>
      </c>
      <c r="Z145" s="115">
        <f t="shared" si="107"/>
        <v>2097360.0886399997</v>
      </c>
      <c r="AA145" s="115">
        <f t="shared" si="107"/>
        <v>1476157.8769099999</v>
      </c>
      <c r="AB145" s="19">
        <f t="shared" si="78"/>
        <v>1.0683355858977954</v>
      </c>
    </row>
    <row r="146" spans="1:28" x14ac:dyDescent="0.25">
      <c r="A146" s="105"/>
      <c r="B146" s="114" t="s">
        <v>179</v>
      </c>
      <c r="C146" s="117">
        <f t="shared" ref="C146:Q146" si="108">C104-C145</f>
        <v>0</v>
      </c>
      <c r="D146" s="117">
        <f t="shared" si="108"/>
        <v>0</v>
      </c>
      <c r="E146" s="117">
        <f t="shared" si="108"/>
        <v>0</v>
      </c>
      <c r="F146" s="117">
        <f t="shared" si="108"/>
        <v>0</v>
      </c>
      <c r="G146" s="117">
        <f t="shared" si="108"/>
        <v>0</v>
      </c>
      <c r="H146" s="117">
        <f t="shared" si="108"/>
        <v>0</v>
      </c>
      <c r="I146" s="117">
        <f t="shared" si="108"/>
        <v>4.0000007720664144E-4</v>
      </c>
      <c r="J146" s="117">
        <f t="shared" si="108"/>
        <v>0</v>
      </c>
      <c r="K146" s="117">
        <f t="shared" si="108"/>
        <v>4.0000001899898052E-4</v>
      </c>
      <c r="L146" s="115">
        <f t="shared" si="108"/>
        <v>0</v>
      </c>
      <c r="M146" s="115">
        <f t="shared" si="108"/>
        <v>0.32003000006079674</v>
      </c>
      <c r="N146" s="115">
        <f t="shared" si="108"/>
        <v>-0.32003000052645802</v>
      </c>
      <c r="O146" s="115">
        <f t="shared" si="108"/>
        <v>0</v>
      </c>
      <c r="P146" s="115">
        <f t="shared" si="108"/>
        <v>0</v>
      </c>
      <c r="Q146" s="115">
        <f t="shared" si="108"/>
        <v>0</v>
      </c>
      <c r="R146" s="118"/>
      <c r="S146" s="115">
        <f t="shared" ref="S146:AA146" si="109">S104-S145</f>
        <v>0</v>
      </c>
      <c r="T146" s="115">
        <f t="shared" si="109"/>
        <v>0</v>
      </c>
      <c r="U146" s="115">
        <f t="shared" si="109"/>
        <v>0</v>
      </c>
      <c r="V146" s="115">
        <f t="shared" si="109"/>
        <v>0.20000000006984919</v>
      </c>
      <c r="W146" s="115">
        <f t="shared" si="109"/>
        <v>0</v>
      </c>
      <c r="X146" s="115">
        <f t="shared" si="109"/>
        <v>0.20000000001164153</v>
      </c>
      <c r="Y146" s="115">
        <f t="shared" si="109"/>
        <v>-0.26234999997541308</v>
      </c>
      <c r="Z146" s="115">
        <f t="shared" si="109"/>
        <v>4.1860000230371952E-2</v>
      </c>
      <c r="AA146" s="115">
        <f t="shared" si="109"/>
        <v>-0.30420999997295439</v>
      </c>
      <c r="AB146" s="19"/>
    </row>
    <row r="147" spans="1:28" x14ac:dyDescent="0.25">
      <c r="A147" s="92" t="s">
        <v>180</v>
      </c>
      <c r="B147" s="119" t="s">
        <v>181</v>
      </c>
      <c r="C147" s="120"/>
      <c r="D147" s="121"/>
      <c r="E147" s="122"/>
      <c r="F147" s="122"/>
      <c r="G147" s="121"/>
      <c r="H147" s="121"/>
      <c r="I147" s="121"/>
      <c r="J147" s="121"/>
      <c r="K147" s="121"/>
      <c r="L147" s="123"/>
      <c r="M147" s="123"/>
      <c r="N147" s="123"/>
      <c r="O147" s="123"/>
      <c r="P147" s="123"/>
      <c r="Q147" s="123"/>
      <c r="R147" s="124"/>
      <c r="S147" s="125"/>
      <c r="T147" s="123"/>
      <c r="U147" s="123"/>
      <c r="V147" s="125"/>
      <c r="W147" s="123"/>
      <c r="X147" s="123"/>
      <c r="Y147" s="125"/>
      <c r="Z147" s="123"/>
      <c r="AA147" s="123"/>
      <c r="AB147" s="19"/>
    </row>
    <row r="148" spans="1:28" x14ac:dyDescent="0.25">
      <c r="A148" s="15" t="s">
        <v>182</v>
      </c>
      <c r="B148" s="25" t="s">
        <v>183</v>
      </c>
      <c r="C148" s="121" t="s">
        <v>184</v>
      </c>
      <c r="D148" s="122" t="s">
        <v>184</v>
      </c>
      <c r="E148" s="122" t="s">
        <v>184</v>
      </c>
      <c r="F148" s="121" t="s">
        <v>184</v>
      </c>
      <c r="G148" s="121" t="s">
        <v>184</v>
      </c>
      <c r="H148" s="121" t="s">
        <v>184</v>
      </c>
      <c r="I148" s="121" t="s">
        <v>184</v>
      </c>
      <c r="J148" s="121" t="s">
        <v>184</v>
      </c>
      <c r="K148" s="123" t="s">
        <v>184</v>
      </c>
      <c r="L148" s="123" t="s">
        <v>184</v>
      </c>
      <c r="M148" s="123" t="s">
        <v>184</v>
      </c>
      <c r="N148" s="123" t="s">
        <v>184</v>
      </c>
      <c r="O148" s="123" t="s">
        <v>184</v>
      </c>
      <c r="P148" s="123" t="s">
        <v>184</v>
      </c>
      <c r="Q148" s="124" t="s">
        <v>184</v>
      </c>
      <c r="R148" s="121" t="s">
        <v>184</v>
      </c>
      <c r="S148" s="122" t="s">
        <v>184</v>
      </c>
      <c r="T148" s="122" t="s">
        <v>184</v>
      </c>
      <c r="U148" s="121" t="s">
        <v>184</v>
      </c>
      <c r="V148" s="121" t="s">
        <v>184</v>
      </c>
      <c r="W148" s="121" t="s">
        <v>184</v>
      </c>
      <c r="X148" s="121" t="s">
        <v>184</v>
      </c>
      <c r="Y148" s="121" t="s">
        <v>184</v>
      </c>
      <c r="Z148" s="123" t="s">
        <v>184</v>
      </c>
      <c r="AA148" s="123" t="s">
        <v>184</v>
      </c>
      <c r="AB148" s="123" t="s">
        <v>184</v>
      </c>
    </row>
    <row r="149" spans="1:28" x14ac:dyDescent="0.25">
      <c r="A149" s="15"/>
      <c r="B149" s="34" t="s">
        <v>185</v>
      </c>
      <c r="C149" s="35">
        <f>71718.8-178.2</f>
        <v>71540.600000000006</v>
      </c>
      <c r="D149" s="35">
        <v>55573.1</v>
      </c>
      <c r="E149" s="36">
        <f t="shared" ref="E149:E150" si="110">C149-D149</f>
        <v>15967.500000000007</v>
      </c>
      <c r="F149" s="35">
        <f>6703.13039</f>
        <v>6703.1303900000003</v>
      </c>
      <c r="G149" s="35">
        <v>0</v>
      </c>
      <c r="H149" s="36">
        <f t="shared" ref="H149:H150" si="111">F149-G149</f>
        <v>6703.1303900000003</v>
      </c>
      <c r="I149" s="35">
        <f>6703.13039-F149</f>
        <v>0</v>
      </c>
      <c r="J149" s="35">
        <v>0</v>
      </c>
      <c r="K149" s="36">
        <f t="shared" ref="K149:K150" si="112">I149-J149</f>
        <v>0</v>
      </c>
      <c r="L149" s="35">
        <v>62635.947670000001</v>
      </c>
      <c r="M149" s="35">
        <v>48217.04767</v>
      </c>
      <c r="N149" s="36">
        <f t="shared" ref="N149:N150" si="113">L149-M149</f>
        <v>14418.900000000001</v>
      </c>
      <c r="O149" s="35">
        <v>62635.95</v>
      </c>
      <c r="P149" s="35">
        <v>48217.05</v>
      </c>
      <c r="Q149" s="36">
        <f t="shared" ref="Q149:Q150" si="114">O149-P149</f>
        <v>14418.899999999994</v>
      </c>
      <c r="R149" s="37">
        <f t="shared" ref="R149:R150" si="115">Q149/E149</f>
        <v>0.90301550023485122</v>
      </c>
      <c r="S149" s="35">
        <v>6331.43</v>
      </c>
      <c r="T149" s="35">
        <f>0</f>
        <v>0</v>
      </c>
      <c r="U149" s="36">
        <f t="shared" ref="U149:U150" si="116">S149-T149</f>
        <v>6331.43</v>
      </c>
      <c r="V149" s="35">
        <f>V11</f>
        <v>0</v>
      </c>
      <c r="W149" s="35">
        <v>0</v>
      </c>
      <c r="X149" s="36">
        <f t="shared" ref="X149:X150" si="117">V149-W149</f>
        <v>0</v>
      </c>
      <c r="Y149" s="35">
        <v>69518.600000000006</v>
      </c>
      <c r="Z149" s="35">
        <v>48217.04767</v>
      </c>
      <c r="AA149" s="36">
        <f t="shared" ref="AA149:AA150" si="118">Y149-Z149</f>
        <v>21301.552330000006</v>
      </c>
      <c r="AB149" s="37">
        <f t="shared" ref="AB149:AB150" si="119">AA149/E149</f>
        <v>1.3340568235478314</v>
      </c>
    </row>
    <row r="150" spans="1:28" x14ac:dyDescent="0.25">
      <c r="A150" s="15"/>
      <c r="B150" s="126" t="s">
        <v>186</v>
      </c>
      <c r="C150" s="35">
        <v>65206.3</v>
      </c>
      <c r="D150" s="35">
        <v>49594</v>
      </c>
      <c r="E150" s="36">
        <f t="shared" si="110"/>
        <v>15612.300000000003</v>
      </c>
      <c r="F150" s="35">
        <f>6703.13039</f>
        <v>6703.1303900000003</v>
      </c>
      <c r="G150" s="35">
        <v>0</v>
      </c>
      <c r="H150" s="36">
        <f t="shared" si="111"/>
        <v>6703.1303900000003</v>
      </c>
      <c r="I150" s="35">
        <f>I149</f>
        <v>0</v>
      </c>
      <c r="J150" s="35">
        <v>0</v>
      </c>
      <c r="K150" s="36">
        <f t="shared" si="112"/>
        <v>0</v>
      </c>
      <c r="L150" s="35">
        <v>62635.947670000001</v>
      </c>
      <c r="M150" s="35">
        <v>48217.04767</v>
      </c>
      <c r="N150" s="36">
        <f t="shared" si="113"/>
        <v>14418.900000000001</v>
      </c>
      <c r="O150" s="35">
        <v>62635.95</v>
      </c>
      <c r="P150" s="35">
        <v>48217.05</v>
      </c>
      <c r="Q150" s="36">
        <f t="shared" si="114"/>
        <v>14418.899999999994</v>
      </c>
      <c r="R150" s="37">
        <f t="shared" si="115"/>
        <v>0.92356026978728256</v>
      </c>
      <c r="S150" s="35">
        <v>6331.43</v>
      </c>
      <c r="T150" s="35">
        <v>6015.8629000000001</v>
      </c>
      <c r="U150" s="36">
        <f t="shared" si="116"/>
        <v>315.56710000000021</v>
      </c>
      <c r="V150" s="35">
        <v>0</v>
      </c>
      <c r="W150" s="35">
        <v>0</v>
      </c>
      <c r="X150" s="36">
        <f t="shared" si="117"/>
        <v>0</v>
      </c>
      <c r="Y150" s="35">
        <f>Y149</f>
        <v>69518.600000000006</v>
      </c>
      <c r="Z150" s="35">
        <v>48217.04767</v>
      </c>
      <c r="AA150" s="36">
        <f t="shared" si="118"/>
        <v>21301.552330000006</v>
      </c>
      <c r="AB150" s="37">
        <f t="shared" si="119"/>
        <v>1.36440834021893</v>
      </c>
    </row>
    <row r="151" spans="1:28" x14ac:dyDescent="0.25">
      <c r="A151" s="15" t="s">
        <v>187</v>
      </c>
      <c r="B151" s="127" t="s">
        <v>188</v>
      </c>
      <c r="C151" s="128">
        <f>C152</f>
        <v>92460</v>
      </c>
      <c r="D151" s="121" t="s">
        <v>184</v>
      </c>
      <c r="E151" s="122" t="s">
        <v>184</v>
      </c>
      <c r="F151" s="129">
        <f>F152</f>
        <v>106040</v>
      </c>
      <c r="G151" s="121" t="s">
        <v>184</v>
      </c>
      <c r="H151" s="121" t="s">
        <v>184</v>
      </c>
      <c r="I151" s="130">
        <f>I152</f>
        <v>0</v>
      </c>
      <c r="J151" s="121" t="s">
        <v>184</v>
      </c>
      <c r="K151" s="121" t="s">
        <v>184</v>
      </c>
      <c r="L151" s="123" t="s">
        <v>184</v>
      </c>
      <c r="M151" s="123" t="s">
        <v>184</v>
      </c>
      <c r="N151" s="123" t="s">
        <v>184</v>
      </c>
      <c r="O151" s="123" t="s">
        <v>184</v>
      </c>
      <c r="P151" s="123" t="s">
        <v>184</v>
      </c>
      <c r="Q151" s="123" t="s">
        <v>184</v>
      </c>
      <c r="R151" s="124" t="s">
        <v>184</v>
      </c>
      <c r="S151" s="125">
        <v>92460</v>
      </c>
      <c r="T151" s="123" t="s">
        <v>184</v>
      </c>
      <c r="U151" s="123" t="s">
        <v>184</v>
      </c>
      <c r="V151" s="125">
        <v>92460</v>
      </c>
      <c r="W151" s="123" t="s">
        <v>184</v>
      </c>
      <c r="X151" s="123" t="s">
        <v>184</v>
      </c>
      <c r="Y151" s="95">
        <f>Y152+Y153+Y154</f>
        <v>190775.70697</v>
      </c>
      <c r="Z151" s="123" t="s">
        <v>184</v>
      </c>
      <c r="AA151" s="123" t="s">
        <v>184</v>
      </c>
      <c r="AB151" s="19">
        <f>Y151/C151</f>
        <v>2.0633323271685051</v>
      </c>
    </row>
    <row r="152" spans="1:28" x14ac:dyDescent="0.25">
      <c r="A152" s="15"/>
      <c r="B152" s="127" t="s">
        <v>189</v>
      </c>
      <c r="C152" s="128">
        <v>92460</v>
      </c>
      <c r="D152" s="121" t="s">
        <v>184</v>
      </c>
      <c r="E152" s="122" t="s">
        <v>184</v>
      </c>
      <c r="F152" s="129">
        <v>106040</v>
      </c>
      <c r="G152" s="121" t="s">
        <v>184</v>
      </c>
      <c r="H152" s="121" t="s">
        <v>184</v>
      </c>
      <c r="I152" s="130">
        <f>106040-F152</f>
        <v>0</v>
      </c>
      <c r="J152" s="121" t="s">
        <v>184</v>
      </c>
      <c r="K152" s="121" t="s">
        <v>184</v>
      </c>
      <c r="L152" s="123" t="s">
        <v>184</v>
      </c>
      <c r="M152" s="123" t="s">
        <v>184</v>
      </c>
      <c r="N152" s="123" t="s">
        <v>184</v>
      </c>
      <c r="O152" s="123" t="s">
        <v>184</v>
      </c>
      <c r="P152" s="123" t="s">
        <v>184</v>
      </c>
      <c r="Q152" s="123" t="s">
        <v>184</v>
      </c>
      <c r="R152" s="124" t="s">
        <v>184</v>
      </c>
      <c r="S152" s="125">
        <v>92460</v>
      </c>
      <c r="T152" s="123" t="s">
        <v>184</v>
      </c>
      <c r="U152" s="123" t="s">
        <v>184</v>
      </c>
      <c r="V152" s="125">
        <v>92460</v>
      </c>
      <c r="W152" s="123" t="s">
        <v>184</v>
      </c>
      <c r="X152" s="123" t="s">
        <v>184</v>
      </c>
      <c r="Y152" s="95">
        <f>C152+Y113</f>
        <v>53950</v>
      </c>
      <c r="Z152" s="123" t="s">
        <v>184</v>
      </c>
      <c r="AA152" s="123" t="s">
        <v>184</v>
      </c>
      <c r="AB152" s="19">
        <f t="shared" ref="AB152:AB164" si="120">Y152/C152</f>
        <v>0.58349556565001082</v>
      </c>
    </row>
    <row r="153" spans="1:28" x14ac:dyDescent="0.25">
      <c r="A153" s="15"/>
      <c r="B153" s="127" t="s">
        <v>190</v>
      </c>
      <c r="C153" s="128"/>
      <c r="D153" s="121" t="s">
        <v>184</v>
      </c>
      <c r="E153" s="122" t="s">
        <v>184</v>
      </c>
      <c r="F153" s="129"/>
      <c r="G153" s="121" t="s">
        <v>184</v>
      </c>
      <c r="H153" s="121" t="s">
        <v>184</v>
      </c>
      <c r="I153" s="130">
        <v>0</v>
      </c>
      <c r="J153" s="121" t="s">
        <v>184</v>
      </c>
      <c r="K153" s="121" t="s">
        <v>184</v>
      </c>
      <c r="L153" s="123" t="s">
        <v>184</v>
      </c>
      <c r="M153" s="123" t="s">
        <v>184</v>
      </c>
      <c r="N153" s="123" t="s">
        <v>184</v>
      </c>
      <c r="O153" s="123" t="s">
        <v>184</v>
      </c>
      <c r="P153" s="123" t="s">
        <v>184</v>
      </c>
      <c r="Q153" s="123" t="s">
        <v>184</v>
      </c>
      <c r="R153" s="124" t="s">
        <v>184</v>
      </c>
      <c r="S153" s="125">
        <v>0</v>
      </c>
      <c r="T153" s="123" t="s">
        <v>184</v>
      </c>
      <c r="U153" s="123" t="s">
        <v>184</v>
      </c>
      <c r="V153" s="125"/>
      <c r="W153" s="123" t="s">
        <v>184</v>
      </c>
      <c r="X153" s="123" t="s">
        <v>184</v>
      </c>
      <c r="Y153" s="95">
        <f>Y116</f>
        <v>136825.70697</v>
      </c>
      <c r="Z153" s="123" t="s">
        <v>184</v>
      </c>
      <c r="AA153" s="123" t="s">
        <v>184</v>
      </c>
      <c r="AB153" s="19" t="e">
        <f t="shared" si="120"/>
        <v>#DIV/0!</v>
      </c>
    </row>
    <row r="154" spans="1:28" x14ac:dyDescent="0.25">
      <c r="A154" s="15"/>
      <c r="B154" s="127" t="s">
        <v>191</v>
      </c>
      <c r="C154" s="128"/>
      <c r="D154" s="121" t="s">
        <v>184</v>
      </c>
      <c r="E154" s="122" t="s">
        <v>184</v>
      </c>
      <c r="F154" s="129"/>
      <c r="G154" s="121" t="s">
        <v>184</v>
      </c>
      <c r="H154" s="121" t="s">
        <v>184</v>
      </c>
      <c r="I154" s="130">
        <v>0</v>
      </c>
      <c r="J154" s="121" t="s">
        <v>184</v>
      </c>
      <c r="K154" s="121" t="s">
        <v>184</v>
      </c>
      <c r="L154" s="123" t="s">
        <v>184</v>
      </c>
      <c r="M154" s="123" t="s">
        <v>184</v>
      </c>
      <c r="N154" s="123" t="s">
        <v>184</v>
      </c>
      <c r="O154" s="123" t="s">
        <v>184</v>
      </c>
      <c r="P154" s="123" t="s">
        <v>184</v>
      </c>
      <c r="Q154" s="123" t="s">
        <v>184</v>
      </c>
      <c r="R154" s="124" t="s">
        <v>184</v>
      </c>
      <c r="S154" s="125">
        <v>0</v>
      </c>
      <c r="T154" s="123" t="s">
        <v>184</v>
      </c>
      <c r="U154" s="123" t="s">
        <v>184</v>
      </c>
      <c r="V154" s="125"/>
      <c r="W154" s="123" t="s">
        <v>184</v>
      </c>
      <c r="X154" s="123" t="s">
        <v>184</v>
      </c>
      <c r="Y154" s="125"/>
      <c r="Z154" s="123" t="s">
        <v>184</v>
      </c>
      <c r="AA154" s="123" t="s">
        <v>184</v>
      </c>
      <c r="AB154" s="19" t="e">
        <f t="shared" si="120"/>
        <v>#DIV/0!</v>
      </c>
    </row>
    <row r="155" spans="1:28" ht="56.25" customHeight="1" x14ac:dyDescent="0.25">
      <c r="A155" s="15" t="s">
        <v>192</v>
      </c>
      <c r="B155" s="131" t="s">
        <v>217</v>
      </c>
      <c r="C155" s="128">
        <f>9+11+49.95+15.5</f>
        <v>85.45</v>
      </c>
      <c r="D155" s="121" t="s">
        <v>184</v>
      </c>
      <c r="E155" s="122" t="s">
        <v>184</v>
      </c>
      <c r="F155" s="122" t="s">
        <v>184</v>
      </c>
      <c r="G155" s="121" t="s">
        <v>184</v>
      </c>
      <c r="H155" s="121" t="s">
        <v>184</v>
      </c>
      <c r="I155" s="121" t="s">
        <v>184</v>
      </c>
      <c r="J155" s="121" t="s">
        <v>184</v>
      </c>
      <c r="K155" s="121" t="s">
        <v>184</v>
      </c>
      <c r="L155" s="125">
        <v>107.95</v>
      </c>
      <c r="M155" s="123" t="s">
        <v>184</v>
      </c>
      <c r="N155" s="123" t="s">
        <v>184</v>
      </c>
      <c r="O155" s="125">
        <v>100.95</v>
      </c>
      <c r="P155" s="123" t="s">
        <v>184</v>
      </c>
      <c r="Q155" s="123" t="s">
        <v>184</v>
      </c>
      <c r="R155" s="124">
        <f>O155/C155</f>
        <v>1.1813926272674078</v>
      </c>
      <c r="S155" s="123" t="s">
        <v>184</v>
      </c>
      <c r="T155" s="123" t="s">
        <v>184</v>
      </c>
      <c r="U155" s="123" t="s">
        <v>184</v>
      </c>
      <c r="V155" s="123" t="s">
        <v>184</v>
      </c>
      <c r="W155" s="123" t="s">
        <v>184</v>
      </c>
      <c r="X155" s="123" t="s">
        <v>184</v>
      </c>
      <c r="Y155" s="125">
        <f>O155</f>
        <v>100.95</v>
      </c>
      <c r="Z155" s="123" t="s">
        <v>184</v>
      </c>
      <c r="AA155" s="123" t="s">
        <v>184</v>
      </c>
      <c r="AB155" s="19">
        <f t="shared" si="120"/>
        <v>1.1813926272674078</v>
      </c>
    </row>
    <row r="156" spans="1:28" ht="63.75" x14ac:dyDescent="0.25">
      <c r="A156" s="15"/>
      <c r="B156" s="131" t="s">
        <v>218</v>
      </c>
      <c r="C156" s="128">
        <v>98.6</v>
      </c>
      <c r="D156" s="121" t="s">
        <v>184</v>
      </c>
      <c r="E156" s="122" t="s">
        <v>184</v>
      </c>
      <c r="F156" s="122" t="s">
        <v>184</v>
      </c>
      <c r="G156" s="121" t="s">
        <v>184</v>
      </c>
      <c r="H156" s="121" t="s">
        <v>184</v>
      </c>
      <c r="I156" s="121" t="s">
        <v>184</v>
      </c>
      <c r="J156" s="121" t="s">
        <v>184</v>
      </c>
      <c r="K156" s="121" t="s">
        <v>184</v>
      </c>
      <c r="L156" s="125">
        <v>122.85</v>
      </c>
      <c r="M156" s="123" t="s">
        <v>184</v>
      </c>
      <c r="N156" s="123" t="s">
        <v>184</v>
      </c>
      <c r="O156" s="125">
        <f>L156</f>
        <v>122.85</v>
      </c>
      <c r="P156" s="123" t="s">
        <v>184</v>
      </c>
      <c r="Q156" s="123" t="s">
        <v>184</v>
      </c>
      <c r="R156" s="124">
        <f t="shared" ref="R156:R164" si="121">O156/C156</f>
        <v>1.2459432048681542</v>
      </c>
      <c r="S156" s="123" t="s">
        <v>184</v>
      </c>
      <c r="T156" s="123" t="s">
        <v>184</v>
      </c>
      <c r="U156" s="123" t="s">
        <v>184</v>
      </c>
      <c r="V156" s="123" t="s">
        <v>184</v>
      </c>
      <c r="W156" s="123" t="s">
        <v>184</v>
      </c>
      <c r="X156" s="123" t="s">
        <v>184</v>
      </c>
      <c r="Y156" s="125">
        <f t="shared" ref="Y156:Y158" si="122">O156</f>
        <v>122.85</v>
      </c>
      <c r="Z156" s="123" t="s">
        <v>184</v>
      </c>
      <c r="AA156" s="123" t="s">
        <v>184</v>
      </c>
      <c r="AB156" s="19">
        <f t="shared" si="120"/>
        <v>1.2459432048681542</v>
      </c>
    </row>
    <row r="157" spans="1:28" ht="54" customHeight="1" x14ac:dyDescent="0.25">
      <c r="A157" s="15"/>
      <c r="B157" s="131" t="s">
        <v>219</v>
      </c>
      <c r="C157" s="128">
        <v>2138.64</v>
      </c>
      <c r="D157" s="121" t="s">
        <v>184</v>
      </c>
      <c r="E157" s="122" t="s">
        <v>184</v>
      </c>
      <c r="F157" s="122" t="s">
        <v>184</v>
      </c>
      <c r="G157" s="121" t="s">
        <v>184</v>
      </c>
      <c r="H157" s="121" t="s">
        <v>184</v>
      </c>
      <c r="I157" s="121" t="s">
        <v>184</v>
      </c>
      <c r="J157" s="121" t="s">
        <v>184</v>
      </c>
      <c r="K157" s="121" t="s">
        <v>184</v>
      </c>
      <c r="L157" s="125">
        <v>2208.06</v>
      </c>
      <c r="M157" s="123" t="s">
        <v>184</v>
      </c>
      <c r="N157" s="123" t="s">
        <v>184</v>
      </c>
      <c r="O157" s="133">
        <v>2215.06</v>
      </c>
      <c r="P157" s="123" t="s">
        <v>184</v>
      </c>
      <c r="Q157" s="123" t="s">
        <v>184</v>
      </c>
      <c r="R157" s="124">
        <f t="shared" si="121"/>
        <v>1.0357329891893914</v>
      </c>
      <c r="S157" s="123" t="s">
        <v>184</v>
      </c>
      <c r="T157" s="123" t="s">
        <v>184</v>
      </c>
      <c r="U157" s="123" t="s">
        <v>184</v>
      </c>
      <c r="V157" s="123" t="s">
        <v>184</v>
      </c>
      <c r="W157" s="123" t="s">
        <v>184</v>
      </c>
      <c r="X157" s="123" t="s">
        <v>184</v>
      </c>
      <c r="Y157" s="125">
        <f t="shared" si="122"/>
        <v>2215.06</v>
      </c>
      <c r="Z157" s="123" t="s">
        <v>184</v>
      </c>
      <c r="AA157" s="123" t="s">
        <v>184</v>
      </c>
      <c r="AB157" s="19">
        <f t="shared" si="120"/>
        <v>1.0357329891893914</v>
      </c>
    </row>
    <row r="158" spans="1:28" ht="60.75" customHeight="1" x14ac:dyDescent="0.25">
      <c r="A158" s="15"/>
      <c r="B158" s="131" t="s">
        <v>220</v>
      </c>
      <c r="C158" s="128">
        <v>7</v>
      </c>
      <c r="D158" s="121" t="s">
        <v>184</v>
      </c>
      <c r="E158" s="122" t="s">
        <v>184</v>
      </c>
      <c r="F158" s="122" t="s">
        <v>184</v>
      </c>
      <c r="G158" s="121" t="s">
        <v>184</v>
      </c>
      <c r="H158" s="121" t="s">
        <v>184</v>
      </c>
      <c r="I158" s="121" t="s">
        <v>184</v>
      </c>
      <c r="J158" s="121" t="s">
        <v>184</v>
      </c>
      <c r="K158" s="121" t="s">
        <v>184</v>
      </c>
      <c r="L158" s="125">
        <v>10</v>
      </c>
      <c r="M158" s="123" t="s">
        <v>184</v>
      </c>
      <c r="N158" s="123" t="s">
        <v>184</v>
      </c>
      <c r="O158" s="133">
        <f>L158</f>
        <v>10</v>
      </c>
      <c r="P158" s="123" t="s">
        <v>184</v>
      </c>
      <c r="Q158" s="123" t="s">
        <v>184</v>
      </c>
      <c r="R158" s="124">
        <f t="shared" si="121"/>
        <v>1.4285714285714286</v>
      </c>
      <c r="S158" s="123" t="s">
        <v>184</v>
      </c>
      <c r="T158" s="123" t="s">
        <v>184</v>
      </c>
      <c r="U158" s="123" t="s">
        <v>184</v>
      </c>
      <c r="V158" s="123" t="s">
        <v>184</v>
      </c>
      <c r="W158" s="123" t="s">
        <v>184</v>
      </c>
      <c r="X158" s="123" t="s">
        <v>184</v>
      </c>
      <c r="Y158" s="125">
        <f t="shared" si="122"/>
        <v>10</v>
      </c>
      <c r="Z158" s="123" t="s">
        <v>184</v>
      </c>
      <c r="AA158" s="123" t="s">
        <v>184</v>
      </c>
      <c r="AB158" s="19">
        <f t="shared" si="120"/>
        <v>1.4285714285714286</v>
      </c>
    </row>
    <row r="159" spans="1:28" s="168" customFormat="1" ht="21" customHeight="1" x14ac:dyDescent="0.25">
      <c r="A159" s="15"/>
      <c r="B159" s="135" t="s">
        <v>216</v>
      </c>
      <c r="C159" s="120">
        <f>C155+C156+C157+C158</f>
        <v>2329.69</v>
      </c>
      <c r="D159" s="121" t="s">
        <v>184</v>
      </c>
      <c r="E159" s="121" t="s">
        <v>184</v>
      </c>
      <c r="F159" s="121" t="s">
        <v>184</v>
      </c>
      <c r="G159" s="121" t="s">
        <v>184</v>
      </c>
      <c r="H159" s="121" t="s">
        <v>184</v>
      </c>
      <c r="I159" s="121" t="s">
        <v>184</v>
      </c>
      <c r="J159" s="121" t="s">
        <v>184</v>
      </c>
      <c r="K159" s="121" t="s">
        <v>184</v>
      </c>
      <c r="L159" s="120">
        <f>L155+L156+L157+L158</f>
        <v>2448.86</v>
      </c>
      <c r="M159" s="121" t="s">
        <v>184</v>
      </c>
      <c r="N159" s="121" t="s">
        <v>184</v>
      </c>
      <c r="O159" s="171">
        <f>O155+O156+O157+O158</f>
        <v>2448.86</v>
      </c>
      <c r="P159" s="123" t="s">
        <v>184</v>
      </c>
      <c r="Q159" s="123" t="s">
        <v>184</v>
      </c>
      <c r="R159" s="124">
        <f t="shared" si="121"/>
        <v>1.0511527284746038</v>
      </c>
      <c r="S159" s="123" t="s">
        <v>184</v>
      </c>
      <c r="T159" s="123" t="s">
        <v>184</v>
      </c>
      <c r="U159" s="123" t="s">
        <v>184</v>
      </c>
      <c r="V159" s="123" t="s">
        <v>184</v>
      </c>
      <c r="W159" s="123" t="s">
        <v>184</v>
      </c>
      <c r="X159" s="123" t="s">
        <v>184</v>
      </c>
      <c r="Y159" s="134">
        <f>Y155+Y156+Y157+Y158</f>
        <v>2448.86</v>
      </c>
      <c r="Z159" s="123" t="s">
        <v>184</v>
      </c>
      <c r="AA159" s="123" t="s">
        <v>184</v>
      </c>
      <c r="AB159" s="51">
        <f t="shared" si="120"/>
        <v>1.0511527284746038</v>
      </c>
    </row>
    <row r="160" spans="1:28" ht="23.25" customHeight="1" x14ac:dyDescent="0.25">
      <c r="A160" s="15" t="s">
        <v>193</v>
      </c>
      <c r="B160" s="135" t="s">
        <v>194</v>
      </c>
      <c r="C160" s="128">
        <f>C161+C163+C164+C162</f>
        <v>56</v>
      </c>
      <c r="D160" s="121" t="s">
        <v>184</v>
      </c>
      <c r="E160" s="122" t="s">
        <v>184</v>
      </c>
      <c r="F160" s="121" t="s">
        <v>184</v>
      </c>
      <c r="G160" s="121" t="s">
        <v>184</v>
      </c>
      <c r="H160" s="121" t="s">
        <v>184</v>
      </c>
      <c r="I160" s="121" t="s">
        <v>184</v>
      </c>
      <c r="J160" s="121" t="s">
        <v>184</v>
      </c>
      <c r="K160" s="121" t="s">
        <v>184</v>
      </c>
      <c r="L160" s="136">
        <f>L161+L163+L164+L162</f>
        <v>57</v>
      </c>
      <c r="M160" s="123" t="s">
        <v>184</v>
      </c>
      <c r="N160" s="123" t="s">
        <v>184</v>
      </c>
      <c r="O160" s="136">
        <f>O161+O163+O164+O162</f>
        <v>57</v>
      </c>
      <c r="P160" s="123" t="s">
        <v>184</v>
      </c>
      <c r="Q160" s="123" t="s">
        <v>184</v>
      </c>
      <c r="R160" s="124">
        <f t="shared" si="121"/>
        <v>1.0178571428571428</v>
      </c>
      <c r="S160" s="136">
        <f>S161+S163+S164+S162</f>
        <v>0</v>
      </c>
      <c r="T160" s="123" t="s">
        <v>184</v>
      </c>
      <c r="U160" s="123" t="s">
        <v>184</v>
      </c>
      <c r="V160" s="123" t="s">
        <v>184</v>
      </c>
      <c r="W160" s="123" t="s">
        <v>184</v>
      </c>
      <c r="X160" s="123" t="s">
        <v>184</v>
      </c>
      <c r="Y160" s="136">
        <f>O160</f>
        <v>57</v>
      </c>
      <c r="Z160" s="123" t="s">
        <v>184</v>
      </c>
      <c r="AA160" s="123" t="s">
        <v>184</v>
      </c>
      <c r="AB160" s="19">
        <f t="shared" si="120"/>
        <v>1.0178571428571428</v>
      </c>
    </row>
    <row r="161" spans="1:28" x14ac:dyDescent="0.25">
      <c r="A161" s="15"/>
      <c r="B161" s="135" t="s">
        <v>195</v>
      </c>
      <c r="C161" s="128">
        <v>6</v>
      </c>
      <c r="D161" s="121" t="s">
        <v>184</v>
      </c>
      <c r="E161" s="122" t="s">
        <v>184</v>
      </c>
      <c r="F161" s="121" t="s">
        <v>184</v>
      </c>
      <c r="G161" s="121" t="s">
        <v>184</v>
      </c>
      <c r="H161" s="121" t="s">
        <v>184</v>
      </c>
      <c r="I161" s="121" t="s">
        <v>184</v>
      </c>
      <c r="J161" s="121" t="s">
        <v>184</v>
      </c>
      <c r="K161" s="121" t="s">
        <v>184</v>
      </c>
      <c r="L161" s="132">
        <v>7</v>
      </c>
      <c r="M161" s="123" t="s">
        <v>184</v>
      </c>
      <c r="N161" s="123" t="s">
        <v>184</v>
      </c>
      <c r="O161" s="133">
        <f>L161</f>
        <v>7</v>
      </c>
      <c r="P161" s="123" t="s">
        <v>184</v>
      </c>
      <c r="Q161" s="123" t="s">
        <v>184</v>
      </c>
      <c r="R161" s="124">
        <f t="shared" si="121"/>
        <v>1.1666666666666667</v>
      </c>
      <c r="S161" s="125"/>
      <c r="T161" s="123" t="s">
        <v>184</v>
      </c>
      <c r="U161" s="123" t="s">
        <v>184</v>
      </c>
      <c r="V161" s="123" t="s">
        <v>184</v>
      </c>
      <c r="W161" s="123" t="s">
        <v>184</v>
      </c>
      <c r="X161" s="123" t="s">
        <v>184</v>
      </c>
      <c r="Y161" s="134">
        <f>O161</f>
        <v>7</v>
      </c>
      <c r="Z161" s="123" t="s">
        <v>184</v>
      </c>
      <c r="AA161" s="123" t="s">
        <v>184</v>
      </c>
      <c r="AB161" s="19">
        <f t="shared" si="120"/>
        <v>1.1666666666666667</v>
      </c>
    </row>
    <row r="162" spans="1:28" x14ac:dyDescent="0.25">
      <c r="A162" s="15"/>
      <c r="B162" s="135" t="s">
        <v>196</v>
      </c>
      <c r="C162" s="128">
        <v>4</v>
      </c>
      <c r="D162" s="121" t="s">
        <v>184</v>
      </c>
      <c r="E162" s="122" t="s">
        <v>184</v>
      </c>
      <c r="F162" s="121" t="s">
        <v>184</v>
      </c>
      <c r="G162" s="121" t="s">
        <v>184</v>
      </c>
      <c r="H162" s="121" t="s">
        <v>184</v>
      </c>
      <c r="I162" s="121" t="s">
        <v>184</v>
      </c>
      <c r="J162" s="121" t="s">
        <v>184</v>
      </c>
      <c r="K162" s="121" t="s">
        <v>184</v>
      </c>
      <c r="L162" s="132">
        <v>4</v>
      </c>
      <c r="M162" s="123" t="s">
        <v>184</v>
      </c>
      <c r="N162" s="123" t="s">
        <v>184</v>
      </c>
      <c r="O162" s="133">
        <f>L162</f>
        <v>4</v>
      </c>
      <c r="P162" s="123" t="s">
        <v>184</v>
      </c>
      <c r="Q162" s="123" t="s">
        <v>184</v>
      </c>
      <c r="R162" s="124">
        <f t="shared" si="121"/>
        <v>1</v>
      </c>
      <c r="S162" s="125"/>
      <c r="T162" s="123" t="s">
        <v>184</v>
      </c>
      <c r="U162" s="123" t="s">
        <v>184</v>
      </c>
      <c r="V162" s="123" t="s">
        <v>184</v>
      </c>
      <c r="W162" s="123" t="s">
        <v>184</v>
      </c>
      <c r="X162" s="123" t="s">
        <v>184</v>
      </c>
      <c r="Y162" s="134">
        <f t="shared" ref="Y162:Y164" si="123">O162</f>
        <v>4</v>
      </c>
      <c r="Z162" s="123" t="s">
        <v>184</v>
      </c>
      <c r="AA162" s="123" t="s">
        <v>184</v>
      </c>
      <c r="AB162" s="19">
        <f t="shared" si="120"/>
        <v>1</v>
      </c>
    </row>
    <row r="163" spans="1:28" x14ac:dyDescent="0.25">
      <c r="A163" s="15"/>
      <c r="B163" s="135" t="s">
        <v>197</v>
      </c>
      <c r="C163" s="128">
        <v>45</v>
      </c>
      <c r="D163" s="121" t="s">
        <v>184</v>
      </c>
      <c r="E163" s="122" t="s">
        <v>184</v>
      </c>
      <c r="F163" s="121" t="s">
        <v>184</v>
      </c>
      <c r="G163" s="121" t="s">
        <v>184</v>
      </c>
      <c r="H163" s="121" t="s">
        <v>184</v>
      </c>
      <c r="I163" s="121" t="s">
        <v>184</v>
      </c>
      <c r="J163" s="121" t="s">
        <v>184</v>
      </c>
      <c r="K163" s="121" t="s">
        <v>184</v>
      </c>
      <c r="L163" s="132">
        <v>45</v>
      </c>
      <c r="M163" s="123" t="s">
        <v>184</v>
      </c>
      <c r="N163" s="123" t="s">
        <v>184</v>
      </c>
      <c r="O163" s="133">
        <f>L163</f>
        <v>45</v>
      </c>
      <c r="P163" s="123" t="s">
        <v>184</v>
      </c>
      <c r="Q163" s="123" t="s">
        <v>184</v>
      </c>
      <c r="R163" s="124">
        <f t="shared" si="121"/>
        <v>1</v>
      </c>
      <c r="S163" s="125"/>
      <c r="T163" s="123" t="s">
        <v>184</v>
      </c>
      <c r="U163" s="123" t="s">
        <v>184</v>
      </c>
      <c r="V163" s="123" t="s">
        <v>184</v>
      </c>
      <c r="W163" s="123" t="s">
        <v>184</v>
      </c>
      <c r="X163" s="123" t="s">
        <v>184</v>
      </c>
      <c r="Y163" s="134">
        <f t="shared" si="123"/>
        <v>45</v>
      </c>
      <c r="Z163" s="123" t="s">
        <v>184</v>
      </c>
      <c r="AA163" s="123" t="s">
        <v>184</v>
      </c>
      <c r="AB163" s="19">
        <f t="shared" si="120"/>
        <v>1</v>
      </c>
    </row>
    <row r="164" spans="1:28" x14ac:dyDescent="0.25">
      <c r="A164" s="15"/>
      <c r="B164" s="88" t="s">
        <v>198</v>
      </c>
      <c r="C164" s="128">
        <v>1</v>
      </c>
      <c r="D164" s="121" t="s">
        <v>184</v>
      </c>
      <c r="E164" s="122" t="s">
        <v>184</v>
      </c>
      <c r="F164" s="121" t="s">
        <v>184</v>
      </c>
      <c r="G164" s="121" t="s">
        <v>184</v>
      </c>
      <c r="H164" s="121" t="s">
        <v>184</v>
      </c>
      <c r="I164" s="121" t="s">
        <v>184</v>
      </c>
      <c r="J164" s="121" t="s">
        <v>184</v>
      </c>
      <c r="K164" s="121" t="s">
        <v>184</v>
      </c>
      <c r="L164" s="132">
        <v>1</v>
      </c>
      <c r="M164" s="123" t="s">
        <v>184</v>
      </c>
      <c r="N164" s="123" t="s">
        <v>184</v>
      </c>
      <c r="O164" s="133">
        <f>L164</f>
        <v>1</v>
      </c>
      <c r="P164" s="123" t="s">
        <v>184</v>
      </c>
      <c r="Q164" s="123" t="s">
        <v>184</v>
      </c>
      <c r="R164" s="124">
        <f t="shared" si="121"/>
        <v>1</v>
      </c>
      <c r="S164" s="134"/>
      <c r="T164" s="123" t="s">
        <v>184</v>
      </c>
      <c r="U164" s="123" t="s">
        <v>184</v>
      </c>
      <c r="V164" s="123" t="s">
        <v>184</v>
      </c>
      <c r="W164" s="123" t="s">
        <v>184</v>
      </c>
      <c r="X164" s="123" t="s">
        <v>184</v>
      </c>
      <c r="Y164" s="134">
        <f t="shared" si="123"/>
        <v>1</v>
      </c>
      <c r="Z164" s="123" t="s">
        <v>184</v>
      </c>
      <c r="AA164" s="123" t="s">
        <v>184</v>
      </c>
      <c r="AB164" s="19">
        <f t="shared" si="120"/>
        <v>1</v>
      </c>
    </row>
    <row r="165" spans="1:28" ht="25.5" x14ac:dyDescent="0.25">
      <c r="A165" s="15" t="s">
        <v>199</v>
      </c>
      <c r="B165" s="32" t="s">
        <v>200</v>
      </c>
      <c r="C165" s="115">
        <f>C55+C56+C69+C89+C90</f>
        <v>1602533.5637999999</v>
      </c>
      <c r="D165" s="115">
        <f t="shared" ref="D165:Z165" si="124">D55+D56+D69+D89+D90</f>
        <v>1004939.40455</v>
      </c>
      <c r="E165" s="137">
        <f t="shared" si="124"/>
        <v>597594.15924999991</v>
      </c>
      <c r="F165" s="115">
        <f t="shared" si="124"/>
        <v>270028.54587000003</v>
      </c>
      <c r="G165" s="115">
        <f t="shared" si="124"/>
        <v>166269.33457000001</v>
      </c>
      <c r="H165" s="137">
        <f t="shared" si="124"/>
        <v>103759.21130000001</v>
      </c>
      <c r="I165" s="115">
        <f>I55+I56+I69+I89+I90</f>
        <v>25820.699329999981</v>
      </c>
      <c r="J165" s="115">
        <f t="shared" si="124"/>
        <v>7880.0978399999822</v>
      </c>
      <c r="K165" s="137">
        <f t="shared" si="124"/>
        <v>17940.601490000001</v>
      </c>
      <c r="L165" s="115">
        <f t="shared" si="124"/>
        <v>1736107.0977</v>
      </c>
      <c r="M165" s="115">
        <f t="shared" si="124"/>
        <v>1099406.6976999999</v>
      </c>
      <c r="N165" s="137">
        <f t="shared" si="124"/>
        <v>636700.4</v>
      </c>
      <c r="O165" s="115">
        <f t="shared" si="124"/>
        <v>1819820.5805300002</v>
      </c>
      <c r="P165" s="115">
        <f t="shared" si="124"/>
        <v>1189209.2983599999</v>
      </c>
      <c r="Q165" s="137">
        <f t="shared" si="124"/>
        <v>630611.28217000014</v>
      </c>
      <c r="R165" s="51">
        <f t="shared" ref="R165:R166" si="125">Q165/E165</f>
        <v>1.05525007634184</v>
      </c>
      <c r="S165" s="115">
        <f t="shared" si="124"/>
        <v>313025.10723999998</v>
      </c>
      <c r="T165" s="115">
        <f t="shared" si="124"/>
        <v>192329.46393999999</v>
      </c>
      <c r="U165" s="137">
        <f t="shared" si="124"/>
        <v>120695.64330000001</v>
      </c>
      <c r="V165" s="115">
        <f t="shared" si="124"/>
        <v>95887.400000000009</v>
      </c>
      <c r="W165" s="115">
        <f t="shared" si="124"/>
        <v>68653.600000000006</v>
      </c>
      <c r="X165" s="137">
        <f t="shared" si="124"/>
        <v>27233.8</v>
      </c>
      <c r="Y165" s="115">
        <f t="shared" si="124"/>
        <v>1825874.5805300002</v>
      </c>
      <c r="Z165" s="115">
        <f t="shared" si="124"/>
        <v>1189209.2983599999</v>
      </c>
      <c r="AA165" s="137">
        <f>AA55+AA56+AA69+AA89+AA90</f>
        <v>636665.28217000014</v>
      </c>
      <c r="AB165" s="51">
        <f t="shared" ref="AB165:AB166" si="126">AA165/E165</f>
        <v>1.0653806974436226</v>
      </c>
    </row>
    <row r="166" spans="1:28" ht="25.5" x14ac:dyDescent="0.25">
      <c r="A166" s="15" t="s">
        <v>201</v>
      </c>
      <c r="B166" s="32" t="s">
        <v>202</v>
      </c>
      <c r="C166" s="115">
        <f>C59+C76+C93</f>
        <v>159951.94009000002</v>
      </c>
      <c r="D166" s="115">
        <f t="shared" ref="D166:AA166" si="127">D59+D76+D93</f>
        <v>585.20132000000001</v>
      </c>
      <c r="E166" s="137">
        <f t="shared" si="127"/>
        <v>159366.73877000003</v>
      </c>
      <c r="F166" s="115">
        <f t="shared" si="127"/>
        <v>50005.490239999999</v>
      </c>
      <c r="G166" s="115">
        <f t="shared" si="127"/>
        <v>38</v>
      </c>
      <c r="H166" s="137">
        <f t="shared" si="127"/>
        <v>49967.490239999999</v>
      </c>
      <c r="I166" s="115">
        <f t="shared" si="127"/>
        <v>6634.2348799999982</v>
      </c>
      <c r="J166" s="115">
        <f t="shared" si="127"/>
        <v>79.863799999999998</v>
      </c>
      <c r="K166" s="137">
        <f t="shared" si="127"/>
        <v>6554.371079999999</v>
      </c>
      <c r="L166" s="115">
        <f t="shared" si="127"/>
        <v>171106.15100000001</v>
      </c>
      <c r="M166" s="115">
        <f t="shared" si="127"/>
        <v>197.44499999999999</v>
      </c>
      <c r="N166" s="137">
        <f t="shared" si="127"/>
        <v>170908.70600000001</v>
      </c>
      <c r="O166" s="115">
        <f t="shared" si="127"/>
        <v>202781.41756</v>
      </c>
      <c r="P166" s="115">
        <f t="shared" si="127"/>
        <v>719.76342999999997</v>
      </c>
      <c r="Q166" s="137">
        <f t="shared" si="127"/>
        <v>202061.65413000001</v>
      </c>
      <c r="R166" s="51">
        <f t="shared" si="125"/>
        <v>1.2679035518297064</v>
      </c>
      <c r="S166" s="115">
        <f t="shared" si="127"/>
        <v>59942.517870000003</v>
      </c>
      <c r="T166" s="115">
        <f t="shared" si="127"/>
        <v>82.056960000000004</v>
      </c>
      <c r="U166" s="137">
        <f t="shared" si="127"/>
        <v>59860.460910000002</v>
      </c>
      <c r="V166" s="115">
        <f t="shared" si="127"/>
        <v>21722.1</v>
      </c>
      <c r="W166" s="115">
        <f t="shared" si="127"/>
        <v>78.2</v>
      </c>
      <c r="X166" s="137">
        <f t="shared" si="127"/>
        <v>21643.899999999998</v>
      </c>
      <c r="Y166" s="115">
        <f t="shared" si="127"/>
        <v>206875.22714000003</v>
      </c>
      <c r="Z166" s="115">
        <f t="shared" si="127"/>
        <v>699</v>
      </c>
      <c r="AA166" s="137">
        <f t="shared" si="127"/>
        <v>206176.22714000003</v>
      </c>
      <c r="AB166" s="51">
        <f t="shared" si="126"/>
        <v>1.2937218188141255</v>
      </c>
    </row>
    <row r="167" spans="1:28" s="157" customFormat="1" ht="153.75" customHeight="1" x14ac:dyDescent="0.25">
      <c r="A167" s="138" t="s">
        <v>203</v>
      </c>
      <c r="B167" s="166" t="s">
        <v>207</v>
      </c>
      <c r="C167" s="139">
        <f>D167+E167</f>
        <v>187834.86</v>
      </c>
      <c r="D167" s="139">
        <f>81855+352.7</f>
        <v>82207.7</v>
      </c>
      <c r="E167" s="139">
        <f>95898+9729.16</f>
        <v>105627.16</v>
      </c>
      <c r="F167" s="140">
        <f>G167+H167</f>
        <v>31568</v>
      </c>
      <c r="G167" s="173">
        <v>13393</v>
      </c>
      <c r="H167" s="173">
        <v>18175</v>
      </c>
      <c r="I167" s="162" t="s">
        <v>184</v>
      </c>
      <c r="J167" s="162" t="s">
        <v>184</v>
      </c>
      <c r="K167" s="162" t="s">
        <v>184</v>
      </c>
      <c r="L167" s="139">
        <f>M167+N167</f>
        <v>210531</v>
      </c>
      <c r="M167" s="139">
        <f>333+92410</f>
        <v>92743</v>
      </c>
      <c r="N167" s="139">
        <f>9847+107941</f>
        <v>117788</v>
      </c>
      <c r="O167" s="139">
        <f>P167+Q167</f>
        <v>210531</v>
      </c>
      <c r="P167" s="139">
        <f>333+92410</f>
        <v>92743</v>
      </c>
      <c r="Q167" s="139">
        <f>9847+107941</f>
        <v>117788</v>
      </c>
      <c r="R167" s="141"/>
      <c r="S167" s="139">
        <f>T167+U167</f>
        <v>42226.31</v>
      </c>
      <c r="T167" s="139">
        <f>36.31+18587</f>
        <v>18623.310000000001</v>
      </c>
      <c r="U167" s="139">
        <f>273+23330</f>
        <v>23603</v>
      </c>
      <c r="V167" s="162" t="s">
        <v>184</v>
      </c>
      <c r="W167" s="162" t="s">
        <v>184</v>
      </c>
      <c r="X167" s="162" t="s">
        <v>184</v>
      </c>
      <c r="Y167" s="139">
        <f>Z167+AA167</f>
        <v>210531</v>
      </c>
      <c r="Z167" s="139">
        <f>P167</f>
        <v>92743</v>
      </c>
      <c r="AA167" s="139">
        <f>Q167</f>
        <v>117788</v>
      </c>
      <c r="AB167" s="141"/>
    </row>
    <row r="168" spans="1:28" s="157" customFormat="1" ht="184.5" customHeight="1" x14ac:dyDescent="0.25">
      <c r="A168" s="138" t="s">
        <v>204</v>
      </c>
      <c r="B168" s="167" t="s">
        <v>208</v>
      </c>
      <c r="C168" s="139">
        <f>D168+E168</f>
        <v>686.1</v>
      </c>
      <c r="D168" s="142">
        <f>303+2.8</f>
        <v>305.8</v>
      </c>
      <c r="E168" s="139">
        <f>343+37.3</f>
        <v>380.3</v>
      </c>
      <c r="F168" s="143">
        <f>G168+H168</f>
        <v>724</v>
      </c>
      <c r="G168" s="143">
        <v>322</v>
      </c>
      <c r="H168" s="143">
        <v>402</v>
      </c>
      <c r="I168" s="163" t="s">
        <v>184</v>
      </c>
      <c r="J168" s="163" t="s">
        <v>184</v>
      </c>
      <c r="K168" s="163" t="s">
        <v>184</v>
      </c>
      <c r="L168" s="139">
        <f>M168+N168</f>
        <v>831</v>
      </c>
      <c r="M168" s="142">
        <f>4+324</f>
        <v>328</v>
      </c>
      <c r="N168" s="139">
        <f>435+68</f>
        <v>503</v>
      </c>
      <c r="O168" s="139">
        <f>P168+Q168</f>
        <v>831</v>
      </c>
      <c r="P168" s="142">
        <f>4+324</f>
        <v>328</v>
      </c>
      <c r="Q168" s="139">
        <f>435+68</f>
        <v>503</v>
      </c>
      <c r="R168" s="144"/>
      <c r="S168" s="139">
        <f>T168+U168</f>
        <v>813</v>
      </c>
      <c r="T168" s="142">
        <f>2+324</f>
        <v>326</v>
      </c>
      <c r="U168" s="139">
        <f>52+435</f>
        <v>487</v>
      </c>
      <c r="V168" s="163" t="s">
        <v>184</v>
      </c>
      <c r="W168" s="163" t="s">
        <v>184</v>
      </c>
      <c r="X168" s="163" t="s">
        <v>184</v>
      </c>
      <c r="Y168" s="139">
        <f>Z168+AA168</f>
        <v>831</v>
      </c>
      <c r="Z168" s="142">
        <f>P168</f>
        <v>328</v>
      </c>
      <c r="AA168" s="139">
        <f>Q168</f>
        <v>503</v>
      </c>
      <c r="AB168" s="144"/>
    </row>
    <row r="169" spans="1:28" s="157" customFormat="1" x14ac:dyDescent="0.25">
      <c r="B169" s="158"/>
      <c r="C169" s="159"/>
      <c r="D169" s="159"/>
      <c r="E169" s="160"/>
      <c r="F169" s="159"/>
      <c r="G169" s="159"/>
      <c r="H169" s="160"/>
      <c r="I169" s="159"/>
      <c r="J169" s="159"/>
      <c r="K169" s="160"/>
      <c r="L169" s="159"/>
      <c r="M169" s="159"/>
      <c r="N169" s="160"/>
      <c r="O169" s="159"/>
      <c r="P169" s="159"/>
      <c r="Q169" s="160"/>
      <c r="R169" s="161"/>
      <c r="S169" s="159"/>
      <c r="T169" s="159"/>
      <c r="U169" s="160"/>
      <c r="V169" s="159"/>
      <c r="W169" s="159"/>
      <c r="X169" s="160"/>
      <c r="Y169" s="159"/>
      <c r="Z169" s="159"/>
      <c r="AA169" s="160"/>
      <c r="AB169" s="161"/>
    </row>
    <row r="170" spans="1:28" s="157" customFormat="1" ht="15.75" x14ac:dyDescent="0.25">
      <c r="B170" s="145" t="s">
        <v>205</v>
      </c>
      <c r="C170" s="146"/>
      <c r="D170" s="146"/>
      <c r="E170" s="147"/>
      <c r="F170" s="148"/>
      <c r="G170" s="148"/>
      <c r="H170" s="149"/>
      <c r="I170" s="149"/>
      <c r="J170" s="149"/>
      <c r="K170" s="149"/>
      <c r="L170" s="150"/>
      <c r="M170" s="150"/>
      <c r="N170" s="150"/>
      <c r="O170" s="151"/>
      <c r="P170" s="151"/>
      <c r="Q170" s="151"/>
      <c r="R170" s="152"/>
      <c r="S170" s="153"/>
      <c r="T170" s="153"/>
      <c r="U170" s="153"/>
      <c r="V170" s="153"/>
      <c r="W170" s="153"/>
      <c r="X170" s="153"/>
      <c r="Y170" s="153"/>
      <c r="Z170" s="153"/>
      <c r="AA170" s="153"/>
      <c r="AB170" s="154"/>
    </row>
    <row r="171" spans="1:28" s="157" customFormat="1" ht="15.75" x14ac:dyDescent="0.25">
      <c r="B171" s="145" t="s">
        <v>206</v>
      </c>
      <c r="C171" s="146"/>
      <c r="D171" s="146"/>
      <c r="E171" s="147"/>
      <c r="F171" s="148"/>
      <c r="G171" s="148"/>
      <c r="H171" s="149"/>
      <c r="I171" s="149"/>
      <c r="J171" s="149"/>
      <c r="K171" s="149"/>
      <c r="L171" s="150"/>
      <c r="M171" s="150"/>
      <c r="N171" s="150"/>
      <c r="O171" s="151"/>
      <c r="P171" s="151"/>
      <c r="Q171" s="151"/>
      <c r="R171" s="152"/>
      <c r="S171" s="153"/>
      <c r="T171" s="153"/>
      <c r="U171" s="153"/>
      <c r="V171" s="153"/>
      <c r="W171" s="153"/>
      <c r="X171" s="153"/>
      <c r="Y171" s="153"/>
      <c r="Z171" s="153"/>
      <c r="AA171" s="153"/>
      <c r="AB171" s="154"/>
    </row>
    <row r="172" spans="1:28" s="157" customFormat="1" ht="15.75" x14ac:dyDescent="0.25">
      <c r="B172" s="145"/>
      <c r="C172" s="146"/>
      <c r="D172" s="146"/>
      <c r="E172" s="147"/>
      <c r="F172" s="148"/>
      <c r="G172" s="148"/>
      <c r="H172" s="149"/>
      <c r="I172" s="149"/>
      <c r="J172" s="149"/>
      <c r="K172" s="149"/>
      <c r="L172" s="150"/>
      <c r="M172" s="150"/>
      <c r="N172" s="150"/>
      <c r="O172" s="151"/>
      <c r="P172" s="151"/>
      <c r="Q172" s="151"/>
      <c r="R172" s="152"/>
      <c r="S172" s="153"/>
      <c r="T172" s="153"/>
      <c r="U172" s="153"/>
      <c r="V172" s="153"/>
      <c r="W172" s="153"/>
      <c r="X172" s="153"/>
      <c r="Y172" s="153"/>
      <c r="Z172" s="153"/>
      <c r="AA172" s="153"/>
      <c r="AB172" s="154"/>
    </row>
    <row r="173" spans="1:28" s="157" customFormat="1" ht="15.75" x14ac:dyDescent="0.25">
      <c r="B173" s="145" t="s">
        <v>222</v>
      </c>
      <c r="C173" s="146"/>
      <c r="D173" s="146"/>
      <c r="E173" s="147"/>
      <c r="F173" s="148"/>
      <c r="G173" s="148"/>
      <c r="H173" s="149"/>
      <c r="I173" s="149"/>
      <c r="J173" s="149"/>
      <c r="K173" s="149"/>
      <c r="L173" s="150"/>
      <c r="M173" s="150"/>
      <c r="N173" s="150"/>
      <c r="O173" s="151"/>
      <c r="P173" s="151"/>
      <c r="Q173" s="151"/>
      <c r="R173" s="152"/>
      <c r="S173" s="153"/>
      <c r="T173" s="153"/>
      <c r="U173" s="153"/>
      <c r="V173" s="153"/>
      <c r="W173" s="153"/>
      <c r="X173" s="153"/>
      <c r="Y173" s="153"/>
      <c r="Z173" s="153"/>
      <c r="AA173" s="153"/>
      <c r="AB173" s="154"/>
    </row>
    <row r="174" spans="1:28" s="157" customFormat="1" ht="15.75" x14ac:dyDescent="0.25">
      <c r="B174" s="146"/>
      <c r="C174" s="146"/>
      <c r="D174" s="146"/>
      <c r="E174" s="147"/>
      <c r="F174" s="148"/>
      <c r="G174" s="148"/>
      <c r="H174" s="149"/>
      <c r="I174" s="149"/>
      <c r="J174" s="149"/>
      <c r="K174" s="149"/>
      <c r="L174" s="150"/>
      <c r="M174" s="150"/>
      <c r="N174" s="150"/>
      <c r="O174" s="151"/>
      <c r="P174" s="151"/>
      <c r="Q174" s="151"/>
      <c r="R174" s="152"/>
      <c r="S174" s="153"/>
      <c r="T174" s="153"/>
      <c r="U174" s="153"/>
      <c r="V174" s="153"/>
      <c r="W174" s="153"/>
      <c r="X174" s="153"/>
      <c r="Y174" s="153"/>
      <c r="Z174" s="153"/>
      <c r="AA174" s="153"/>
      <c r="AB174" s="154"/>
    </row>
    <row r="175" spans="1:28" s="157" customFormat="1" x14ac:dyDescent="0.25">
      <c r="B175" s="155"/>
      <c r="C175" s="155"/>
      <c r="D175" s="155"/>
      <c r="E175" s="156"/>
      <c r="F175" s="150"/>
      <c r="G175" s="150"/>
      <c r="H175" s="149"/>
      <c r="I175" s="149"/>
      <c r="J175" s="149"/>
      <c r="K175" s="149"/>
      <c r="L175" s="150"/>
      <c r="M175" s="150"/>
      <c r="N175" s="150"/>
      <c r="O175" s="151"/>
      <c r="P175" s="151"/>
      <c r="Q175" s="151"/>
      <c r="R175" s="152"/>
      <c r="S175" s="153"/>
      <c r="T175" s="153"/>
      <c r="U175" s="153"/>
      <c r="V175" s="153"/>
      <c r="W175" s="153"/>
      <c r="X175" s="153"/>
      <c r="Y175" s="153"/>
      <c r="Z175" s="153"/>
      <c r="AA175" s="153"/>
      <c r="AB175" s="154"/>
    </row>
    <row r="176" spans="1:28" s="157" customFormat="1" x14ac:dyDescent="0.25"/>
    <row r="177" spans="2:13" s="157" customFormat="1" x14ac:dyDescent="0.25"/>
    <row r="178" spans="2:13" x14ac:dyDescent="0.25">
      <c r="B178" s="157"/>
      <c r="C178" s="157"/>
      <c r="D178" s="157"/>
      <c r="E178" s="157"/>
      <c r="F178" s="157"/>
      <c r="G178" s="157"/>
      <c r="H178" s="157"/>
      <c r="I178" s="157"/>
      <c r="J178" s="157"/>
      <c r="K178" s="157"/>
      <c r="L178" s="157"/>
      <c r="M178" s="157"/>
    </row>
    <row r="179" spans="2:13" x14ac:dyDescent="0.25">
      <c r="B179" s="157"/>
      <c r="C179" s="157"/>
      <c r="D179" s="157"/>
      <c r="E179" s="157"/>
      <c r="F179" s="157"/>
      <c r="G179" s="157"/>
      <c r="H179" s="157"/>
      <c r="I179" s="157"/>
      <c r="J179" s="157"/>
      <c r="K179" s="157"/>
      <c r="L179" s="157"/>
      <c r="M179" s="157"/>
    </row>
    <row r="180" spans="2:13" x14ac:dyDescent="0.25">
      <c r="B180" s="157"/>
      <c r="C180" s="157"/>
      <c r="D180" s="157"/>
      <c r="E180" s="157"/>
      <c r="F180" s="157"/>
      <c r="G180" s="157"/>
      <c r="H180" s="157"/>
      <c r="I180" s="157"/>
      <c r="J180" s="157"/>
      <c r="K180" s="157"/>
      <c r="L180" s="157"/>
      <c r="M180" s="157"/>
    </row>
    <row r="181" spans="2:13" x14ac:dyDescent="0.25">
      <c r="B181" s="157"/>
      <c r="C181" s="157"/>
      <c r="D181" s="157"/>
      <c r="E181" s="157"/>
      <c r="F181" s="157"/>
      <c r="G181" s="157"/>
      <c r="H181" s="157"/>
      <c r="I181" s="157"/>
      <c r="J181" s="157"/>
      <c r="K181" s="157"/>
      <c r="L181" s="157"/>
      <c r="M181" s="157"/>
    </row>
    <row r="182" spans="2:13" x14ac:dyDescent="0.25">
      <c r="B182" s="157"/>
      <c r="C182" s="157"/>
      <c r="D182" s="157"/>
      <c r="E182" s="157"/>
      <c r="F182" s="157"/>
      <c r="G182" s="157"/>
      <c r="H182" s="157"/>
      <c r="I182" s="157"/>
      <c r="J182" s="157"/>
      <c r="K182" s="157"/>
      <c r="L182" s="157"/>
      <c r="M182" s="157"/>
    </row>
    <row r="183" spans="2:13" x14ac:dyDescent="0.25">
      <c r="B183" s="157"/>
      <c r="C183" s="157"/>
      <c r="D183" s="157"/>
      <c r="E183" s="157"/>
      <c r="F183" s="157"/>
      <c r="G183" s="157"/>
      <c r="H183" s="157"/>
      <c r="I183" s="157"/>
      <c r="J183" s="157"/>
      <c r="K183" s="157"/>
      <c r="L183" s="157"/>
      <c r="M183" s="157"/>
    </row>
    <row r="184" spans="2:13" x14ac:dyDescent="0.25">
      <c r="B184" s="157"/>
      <c r="C184" s="157"/>
      <c r="D184" s="157"/>
      <c r="E184" s="157"/>
      <c r="F184" s="157"/>
      <c r="G184" s="157"/>
      <c r="H184" s="157"/>
      <c r="I184" s="157"/>
      <c r="J184" s="157"/>
      <c r="K184" s="157"/>
      <c r="L184" s="157"/>
      <c r="M184" s="157"/>
    </row>
    <row r="185" spans="2:13" x14ac:dyDescent="0.25">
      <c r="B185" s="157"/>
      <c r="C185" s="157"/>
      <c r="D185" s="157"/>
      <c r="E185" s="157"/>
      <c r="F185" s="157"/>
      <c r="G185" s="157"/>
      <c r="H185" s="157"/>
      <c r="I185" s="157"/>
      <c r="J185" s="157"/>
      <c r="K185" s="157"/>
      <c r="L185" s="157"/>
      <c r="M185" s="157"/>
    </row>
    <row r="186" spans="2:13" x14ac:dyDescent="0.25">
      <c r="B186" s="157"/>
      <c r="C186" s="157"/>
      <c r="D186" s="157"/>
      <c r="E186" s="157"/>
      <c r="F186" s="157"/>
      <c r="G186" s="157"/>
      <c r="H186" s="157"/>
      <c r="I186" s="157"/>
      <c r="J186" s="157"/>
      <c r="K186" s="157"/>
      <c r="L186" s="157"/>
      <c r="M186" s="157"/>
    </row>
    <row r="187" spans="2:13" x14ac:dyDescent="0.25">
      <c r="B187" s="157"/>
      <c r="C187" s="157"/>
      <c r="D187" s="157"/>
      <c r="E187" s="157"/>
      <c r="F187" s="157"/>
      <c r="G187" s="157"/>
      <c r="H187" s="157"/>
      <c r="I187" s="157"/>
      <c r="J187" s="157"/>
      <c r="K187" s="157"/>
      <c r="L187" s="157"/>
      <c r="M187" s="157"/>
    </row>
    <row r="188" spans="2:13" x14ac:dyDescent="0.25">
      <c r="B188" s="157"/>
      <c r="C188" s="157"/>
      <c r="D188" s="157"/>
      <c r="E188" s="157"/>
      <c r="F188" s="157"/>
      <c r="G188" s="157"/>
      <c r="H188" s="157"/>
      <c r="I188" s="157"/>
      <c r="J188" s="157"/>
      <c r="K188" s="157"/>
      <c r="L188" s="157"/>
      <c r="M188" s="157"/>
    </row>
    <row r="189" spans="2:13" x14ac:dyDescent="0.25">
      <c r="B189" s="157"/>
      <c r="C189" s="157"/>
      <c r="D189" s="157"/>
      <c r="E189" s="157"/>
      <c r="F189" s="157"/>
      <c r="G189" s="157"/>
      <c r="H189" s="157"/>
      <c r="I189" s="157"/>
      <c r="J189" s="157"/>
      <c r="K189" s="157"/>
      <c r="L189" s="157"/>
      <c r="M189" s="157"/>
    </row>
    <row r="190" spans="2:13" x14ac:dyDescent="0.25">
      <c r="B190" s="157"/>
      <c r="C190" s="157"/>
      <c r="D190" s="157"/>
      <c r="E190" s="157"/>
      <c r="F190" s="157"/>
      <c r="G190" s="157"/>
      <c r="H190" s="157"/>
      <c r="I190" s="157"/>
      <c r="J190" s="157"/>
      <c r="K190" s="157"/>
      <c r="L190" s="157"/>
      <c r="M190" s="157"/>
    </row>
    <row r="191" spans="2:13" x14ac:dyDescent="0.25">
      <c r="B191" s="157"/>
      <c r="C191" s="157"/>
      <c r="D191" s="157"/>
      <c r="E191" s="157"/>
      <c r="F191" s="157"/>
      <c r="G191" s="157"/>
      <c r="H191" s="157"/>
      <c r="I191" s="157"/>
      <c r="J191" s="157"/>
      <c r="K191" s="157"/>
      <c r="L191" s="157"/>
      <c r="M191" s="157"/>
    </row>
    <row r="192" spans="2:13" x14ac:dyDescent="0.25">
      <c r="B192" s="157"/>
      <c r="C192" s="157"/>
      <c r="D192" s="157"/>
      <c r="E192" s="157"/>
      <c r="F192" s="157"/>
      <c r="G192" s="157"/>
      <c r="H192" s="157"/>
      <c r="I192" s="157"/>
      <c r="J192" s="157"/>
      <c r="K192" s="157"/>
      <c r="L192" s="157"/>
      <c r="M192" s="157"/>
    </row>
    <row r="193" spans="2:13" x14ac:dyDescent="0.25">
      <c r="B193" s="157"/>
      <c r="C193" s="157"/>
      <c r="D193" s="157"/>
      <c r="E193" s="157"/>
      <c r="F193" s="157"/>
      <c r="G193" s="157"/>
      <c r="H193" s="157"/>
      <c r="I193" s="157"/>
      <c r="J193" s="157"/>
      <c r="K193" s="157"/>
      <c r="L193" s="157"/>
      <c r="M193" s="157"/>
    </row>
  </sheetData>
  <sheetProtection algorithmName="SHA-512" hashValue="XlVYl9Gq1CYd7PMq/QY856YpdpuXSOg09dETgo12p0gDjPvqVktlV8akkoiHax8wZihnqS64ZiHBkYDAxAQG3g==" saltValue="yjbTM+gw7FLLW+XUymn6ig==" spinCount="100000" sheet="1" objects="1" scenarios="1"/>
  <mergeCells count="31">
    <mergeCell ref="C1:X1"/>
    <mergeCell ref="A2:A5"/>
    <mergeCell ref="B2:B5"/>
    <mergeCell ref="C2:K2"/>
    <mergeCell ref="L2:AB2"/>
    <mergeCell ref="C3:E3"/>
    <mergeCell ref="F3:H3"/>
    <mergeCell ref="I3:K3"/>
    <mergeCell ref="L3:N3"/>
    <mergeCell ref="O3:Q3"/>
    <mergeCell ref="AB3:AB5"/>
    <mergeCell ref="C4:C5"/>
    <mergeCell ref="D4:E4"/>
    <mergeCell ref="F4:F5"/>
    <mergeCell ref="G4:H4"/>
    <mergeCell ref="I4:I5"/>
    <mergeCell ref="S4:S5"/>
    <mergeCell ref="R3:R5"/>
    <mergeCell ref="S3:U3"/>
    <mergeCell ref="V3:X3"/>
    <mergeCell ref="Y3:AA3"/>
    <mergeCell ref="T4:U4"/>
    <mergeCell ref="V4:V5"/>
    <mergeCell ref="W4:X4"/>
    <mergeCell ref="Y4:Y5"/>
    <mergeCell ref="Z4:AA4"/>
    <mergeCell ref="J4:K4"/>
    <mergeCell ref="L4:L5"/>
    <mergeCell ref="M4:N4"/>
    <mergeCell ref="O4:O5"/>
    <mergeCell ref="P4:Q4"/>
  </mergeCells>
  <pageMargins left="0.31496062992125984" right="0.11811023622047245" top="0" bottom="0" header="0.31496062992125984" footer="0.31496062992125984"/>
  <pageSetup paperSize="8" scale="55" orientation="landscape" horizontalDpi="300" verticalDpi="30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2</vt:i4>
      </vt:variant>
    </vt:vector>
  </HeadingPairs>
  <TitlesOfParts>
    <vt:vector size="5" baseType="lpstr">
      <vt:lpstr>Лист1</vt:lpstr>
      <vt:lpstr>Лист2</vt:lpstr>
      <vt:lpstr>Лист3</vt:lpstr>
      <vt:lpstr>Лист1!Заголовки_для_печати</vt:lpstr>
      <vt:lpstr>Лист1!Область_печати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Сысоева О.С.</dc:creator>
  <cp:lastModifiedBy>Пикина Надежда Анатольевна</cp:lastModifiedBy>
  <cp:lastPrinted>2023-01-31T12:02:35Z</cp:lastPrinted>
  <dcterms:created xsi:type="dcterms:W3CDTF">2020-02-03T08:43:29Z</dcterms:created>
  <dcterms:modified xsi:type="dcterms:W3CDTF">2023-04-12T06:36:40Z</dcterms:modified>
</cp:coreProperties>
</file>