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Лист1!$A$1:$AB$173</definedName>
  </definedNames>
  <calcPr calcId="145621"/>
</workbook>
</file>

<file path=xl/calcChain.xml><?xml version="1.0" encoding="utf-8"?>
<calcChain xmlns="http://schemas.openxmlformats.org/spreadsheetml/2006/main">
  <c r="V128" i="1" l="1"/>
  <c r="S128" i="1"/>
  <c r="W137" i="1" l="1"/>
  <c r="V137" i="1"/>
  <c r="W132" i="1"/>
  <c r="Y43" i="1"/>
  <c r="Y137" i="1"/>
  <c r="Y65" i="1"/>
  <c r="Y46" i="1"/>
  <c r="Y44" i="1"/>
  <c r="Y132" i="1"/>
  <c r="Z132" i="1"/>
  <c r="Y133" i="1"/>
  <c r="Z133" i="1"/>
  <c r="Y134" i="1"/>
  <c r="Z134" i="1"/>
  <c r="Y135" i="1"/>
  <c r="Z135" i="1"/>
  <c r="Y136" i="1"/>
  <c r="Z136" i="1"/>
  <c r="Z137" i="1"/>
  <c r="Y138" i="1"/>
  <c r="Z138" i="1"/>
  <c r="Y140" i="1"/>
  <c r="Z140" i="1"/>
  <c r="Y141" i="1"/>
  <c r="Z141" i="1"/>
  <c r="Y142" i="1"/>
  <c r="Z142" i="1"/>
  <c r="Y143" i="1"/>
  <c r="Z143" i="1"/>
  <c r="Z131" i="1"/>
  <c r="Y131" i="1"/>
  <c r="Y89" i="1"/>
  <c r="Y90" i="1"/>
  <c r="Y91" i="1"/>
  <c r="Z91" i="1"/>
  <c r="Y93" i="1"/>
  <c r="Y94" i="1"/>
  <c r="Z94" i="1"/>
  <c r="Y95" i="1"/>
  <c r="Y99" i="1"/>
  <c r="Y87" i="1"/>
  <c r="Y69" i="1"/>
  <c r="Z69" i="1"/>
  <c r="Y70" i="1"/>
  <c r="Z70" i="1"/>
  <c r="Y71" i="1"/>
  <c r="Z71" i="1"/>
  <c r="Y73" i="1"/>
  <c r="Z73" i="1"/>
  <c r="Y74" i="1"/>
  <c r="Z74" i="1"/>
  <c r="Y76" i="1"/>
  <c r="Y77" i="1"/>
  <c r="Z77" i="1"/>
  <c r="Y78" i="1"/>
  <c r="Z78" i="1"/>
  <c r="Z67" i="1"/>
  <c r="Y67" i="1"/>
  <c r="Y55" i="1"/>
  <c r="Z55" i="1"/>
  <c r="Y56" i="1"/>
  <c r="Z56" i="1"/>
  <c r="Y57" i="1"/>
  <c r="Z57" i="1"/>
  <c r="Y59" i="1"/>
  <c r="Z59" i="1"/>
  <c r="Y60" i="1"/>
  <c r="Z60" i="1"/>
  <c r="Y61" i="1"/>
  <c r="Z61" i="1"/>
  <c r="Y62" i="1"/>
  <c r="Z62" i="1"/>
  <c r="Y63" i="1"/>
  <c r="Z63" i="1"/>
  <c r="Z65" i="1"/>
  <c r="Z53" i="1"/>
  <c r="Y53" i="1"/>
  <c r="V125" i="1"/>
  <c r="V124" i="1"/>
  <c r="S125" i="1"/>
  <c r="S124" i="1"/>
  <c r="S127" i="1"/>
  <c r="W53" i="1"/>
  <c r="V99" i="1"/>
  <c r="V53" i="1"/>
  <c r="U168" i="1" l="1"/>
  <c r="U167" i="1"/>
  <c r="T168" i="1"/>
  <c r="T167" i="1"/>
  <c r="Q168" i="1"/>
  <c r="Q167" i="1"/>
  <c r="P168" i="1"/>
  <c r="P167" i="1"/>
  <c r="T69" i="1"/>
  <c r="T67" i="1"/>
  <c r="P69" i="1"/>
  <c r="P67" i="1"/>
  <c r="S78" i="1"/>
  <c r="S77" i="1"/>
  <c r="S76" i="1"/>
  <c r="S74" i="1"/>
  <c r="S70" i="1"/>
  <c r="S71" i="1"/>
  <c r="S69" i="1"/>
  <c r="S67" i="1"/>
  <c r="O78" i="1"/>
  <c r="O77" i="1"/>
  <c r="O76" i="1"/>
  <c r="O74" i="1"/>
  <c r="O71" i="1"/>
  <c r="O70" i="1"/>
  <c r="O69" i="1"/>
  <c r="O67" i="1"/>
  <c r="T94" i="1" l="1"/>
  <c r="S94" i="1"/>
  <c r="S93" i="1"/>
  <c r="P94" i="1"/>
  <c r="P93" i="1"/>
  <c r="O94" i="1"/>
  <c r="O93" i="1"/>
  <c r="O89" i="1"/>
  <c r="T61" i="1" l="1"/>
  <c r="S60" i="1"/>
  <c r="S59" i="1"/>
  <c r="P61" i="1"/>
  <c r="P60" i="1"/>
  <c r="P59" i="1"/>
  <c r="O61" i="1"/>
  <c r="O60" i="1"/>
  <c r="O59" i="1"/>
  <c r="T60" i="1" l="1"/>
  <c r="T59" i="1"/>
  <c r="S95" i="1" l="1"/>
  <c r="O95" i="1"/>
  <c r="T78" i="1"/>
  <c r="T77" i="1"/>
  <c r="T74" i="1"/>
  <c r="T73" i="1"/>
  <c r="T70" i="1"/>
  <c r="S73" i="1"/>
  <c r="P78" i="1"/>
  <c r="P77" i="1"/>
  <c r="P74" i="1"/>
  <c r="P73" i="1"/>
  <c r="P70" i="1"/>
  <c r="O73" i="1"/>
  <c r="O168" i="1" l="1"/>
  <c r="T57" i="1" l="1"/>
  <c r="P57" i="1"/>
  <c r="T53" i="1"/>
  <c r="P53" i="1"/>
  <c r="V151" i="1"/>
  <c r="S151" i="1"/>
  <c r="S83" i="1"/>
  <c r="S103" i="1"/>
  <c r="S84" i="1" s="1"/>
  <c r="S91" i="1"/>
  <c r="S90" i="1"/>
  <c r="S89" i="1"/>
  <c r="S87" i="1" s="1"/>
  <c r="O83" i="1"/>
  <c r="O91" i="1"/>
  <c r="O57" i="1" s="1"/>
  <c r="O103" i="1"/>
  <c r="O84" i="1" s="1"/>
  <c r="O90" i="1"/>
  <c r="O87" i="1"/>
  <c r="O82" i="1"/>
  <c r="S63" i="1"/>
  <c r="O63" i="1"/>
  <c r="S62" i="1"/>
  <c r="O62" i="1"/>
  <c r="S57" i="1"/>
  <c r="S53" i="1"/>
  <c r="S56" i="1"/>
  <c r="S55" i="1"/>
  <c r="O53" i="1"/>
  <c r="O56" i="1"/>
  <c r="O55" i="1"/>
  <c r="S49" i="1"/>
  <c r="S48" i="1"/>
  <c r="S36" i="1"/>
  <c r="S33" i="1"/>
  <c r="S32" i="1"/>
  <c r="S31" i="1"/>
  <c r="S25" i="1"/>
  <c r="J94" i="1" l="1"/>
  <c r="J73" i="1"/>
  <c r="I73" i="1"/>
  <c r="J36" i="1" l="1"/>
  <c r="I49" i="1"/>
  <c r="I31" i="1"/>
  <c r="I27" i="1"/>
  <c r="I17" i="1"/>
  <c r="I14" i="1"/>
  <c r="I13" i="1"/>
  <c r="I11" i="1"/>
  <c r="I10" i="1"/>
  <c r="I132" i="1"/>
  <c r="G141" i="1"/>
  <c r="J141" i="1" s="1"/>
  <c r="G140" i="1"/>
  <c r="J140" i="1" s="1"/>
  <c r="G138" i="1"/>
  <c r="J138" i="1" s="1"/>
  <c r="G137" i="1"/>
  <c r="J137" i="1" s="1"/>
  <c r="G135" i="1"/>
  <c r="J135" i="1" s="1"/>
  <c r="G134" i="1"/>
  <c r="J134" i="1" s="1"/>
  <c r="G133" i="1"/>
  <c r="J133" i="1" s="1"/>
  <c r="G131" i="1"/>
  <c r="J131" i="1" s="1"/>
  <c r="G78" i="1"/>
  <c r="J78" i="1" s="1"/>
  <c r="G77" i="1"/>
  <c r="J77" i="1" s="1"/>
  <c r="G74" i="1"/>
  <c r="J74" i="1" s="1"/>
  <c r="G70" i="1"/>
  <c r="J70" i="1" s="1"/>
  <c r="G69" i="1"/>
  <c r="J69" i="1" s="1"/>
  <c r="G67" i="1"/>
  <c r="J67" i="1" s="1"/>
  <c r="G65" i="1"/>
  <c r="J65" i="1" s="1"/>
  <c r="G63" i="1"/>
  <c r="J63" i="1" s="1"/>
  <c r="G62" i="1"/>
  <c r="J62" i="1" s="1"/>
  <c r="G60" i="1"/>
  <c r="J60" i="1" s="1"/>
  <c r="G59" i="1"/>
  <c r="J59" i="1" s="1"/>
  <c r="G57" i="1"/>
  <c r="J57" i="1" s="1"/>
  <c r="G56" i="1"/>
  <c r="J56" i="1" s="1"/>
  <c r="G55" i="1"/>
  <c r="J55" i="1" s="1"/>
  <c r="G53" i="1"/>
  <c r="J53" i="1" s="1"/>
  <c r="G49" i="1"/>
  <c r="J49" i="1" s="1"/>
  <c r="F150" i="1"/>
  <c r="F149" i="1"/>
  <c r="I149" i="1" s="1"/>
  <c r="I150" i="1" s="1"/>
  <c r="F141" i="1"/>
  <c r="I141" i="1" s="1"/>
  <c r="F140" i="1"/>
  <c r="I140" i="1" s="1"/>
  <c r="F138" i="1"/>
  <c r="I138" i="1" s="1"/>
  <c r="F137" i="1"/>
  <c r="I137" i="1" s="1"/>
  <c r="F136" i="1"/>
  <c r="I136" i="1" s="1"/>
  <c r="F135" i="1"/>
  <c r="I135" i="1" s="1"/>
  <c r="F134" i="1"/>
  <c r="I134" i="1" s="1"/>
  <c r="F133" i="1"/>
  <c r="I133" i="1" s="1"/>
  <c r="F132" i="1"/>
  <c r="F131" i="1"/>
  <c r="I131" i="1" s="1"/>
  <c r="F127" i="1"/>
  <c r="I127" i="1" s="1"/>
  <c r="F125" i="1"/>
  <c r="I125" i="1" s="1"/>
  <c r="F124" i="1"/>
  <c r="I124" i="1" s="1"/>
  <c r="F120" i="1"/>
  <c r="I120" i="1" s="1"/>
  <c r="G106" i="1"/>
  <c r="J106" i="1" s="1"/>
  <c r="F106" i="1"/>
  <c r="I106" i="1" s="1"/>
  <c r="F103" i="1"/>
  <c r="I103" i="1" s="1"/>
  <c r="F101" i="1"/>
  <c r="I101" i="1" s="1"/>
  <c r="F96" i="1"/>
  <c r="I96" i="1" s="1"/>
  <c r="F95" i="1"/>
  <c r="I95" i="1" s="1"/>
  <c r="F94" i="1"/>
  <c r="I94" i="1" s="1"/>
  <c r="F93" i="1"/>
  <c r="I93" i="1" s="1"/>
  <c r="G91" i="1"/>
  <c r="J91" i="1" s="1"/>
  <c r="F91" i="1"/>
  <c r="I91" i="1" s="1"/>
  <c r="F90" i="1"/>
  <c r="I90" i="1" s="1"/>
  <c r="F89" i="1"/>
  <c r="I89" i="1" s="1"/>
  <c r="F87" i="1"/>
  <c r="I87" i="1" s="1"/>
  <c r="F83" i="1"/>
  <c r="I83" i="1" s="1"/>
  <c r="F78" i="1"/>
  <c r="I78" i="1" s="1"/>
  <c r="F77" i="1"/>
  <c r="I77" i="1" s="1"/>
  <c r="F76" i="1"/>
  <c r="I76" i="1" s="1"/>
  <c r="F74" i="1"/>
  <c r="I74" i="1" s="1"/>
  <c r="F71" i="1"/>
  <c r="I71" i="1" s="1"/>
  <c r="F70" i="1"/>
  <c r="I70" i="1" s="1"/>
  <c r="F69" i="1"/>
  <c r="I69" i="1" s="1"/>
  <c r="F67" i="1"/>
  <c r="I67" i="1" s="1"/>
  <c r="F65" i="1"/>
  <c r="I65" i="1" s="1"/>
  <c r="F63" i="1"/>
  <c r="I63" i="1" s="1"/>
  <c r="F62" i="1"/>
  <c r="I62" i="1" s="1"/>
  <c r="F61" i="1"/>
  <c r="I61" i="1" s="1"/>
  <c r="F60" i="1"/>
  <c r="I60" i="1" s="1"/>
  <c r="F59" i="1"/>
  <c r="I59" i="1" s="1"/>
  <c r="F57" i="1"/>
  <c r="I57" i="1" s="1"/>
  <c r="F56" i="1"/>
  <c r="I56" i="1" s="1"/>
  <c r="F55" i="1"/>
  <c r="I55" i="1" s="1"/>
  <c r="F53" i="1"/>
  <c r="I53" i="1" s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1" i="1"/>
  <c r="I41" i="1"/>
  <c r="F40" i="1"/>
  <c r="I40" i="1"/>
  <c r="G36" i="1"/>
  <c r="F36" i="1"/>
  <c r="I36" i="1" s="1"/>
  <c r="F33" i="1"/>
  <c r="I33" i="1" s="1"/>
  <c r="F32" i="1"/>
  <c r="I32" i="1" s="1"/>
  <c r="G31" i="1"/>
  <c r="J31" i="1"/>
  <c r="F31" i="1"/>
  <c r="F30" i="1"/>
  <c r="I30" i="1" s="1"/>
  <c r="F25" i="1"/>
  <c r="I25" i="1" s="1"/>
  <c r="F19" i="1"/>
  <c r="I19" i="1" s="1"/>
  <c r="F18" i="1"/>
  <c r="I18" i="1" s="1"/>
  <c r="F16" i="1"/>
  <c r="I16" i="1" s="1"/>
  <c r="H106" i="1" l="1"/>
  <c r="G61" i="1" l="1"/>
  <c r="J61" i="1" s="1"/>
  <c r="F142" i="1" l="1"/>
  <c r="I142" i="1" s="1"/>
  <c r="F84" i="1"/>
  <c r="I84" i="1" s="1"/>
  <c r="J48" i="1"/>
  <c r="Z150" i="1" l="1"/>
  <c r="Z149" i="1"/>
  <c r="Y150" i="1"/>
  <c r="V87" i="1"/>
  <c r="V127" i="1" l="1"/>
  <c r="Z84" i="1" l="1"/>
  <c r="Y85" i="1"/>
  <c r="Y79" i="1"/>
  <c r="Z31" i="1"/>
  <c r="Z33" i="1"/>
  <c r="Z48" i="1"/>
  <c r="Y45" i="1"/>
  <c r="Y41" i="1"/>
  <c r="Y40" i="1"/>
  <c r="Z82" i="1"/>
  <c r="P36" i="1"/>
  <c r="S168" i="1" l="1"/>
  <c r="S167" i="1"/>
  <c r="O167" i="1" l="1"/>
  <c r="Y49" i="1" l="1"/>
  <c r="Y48" i="1"/>
  <c r="Y83" i="1"/>
  <c r="Y82" i="1"/>
  <c r="T49" i="1" l="1"/>
  <c r="Z49" i="1" s="1"/>
  <c r="O113" i="1"/>
  <c r="Y103" i="1" l="1"/>
  <c r="Y84" i="1"/>
  <c r="Y157" i="1" l="1"/>
  <c r="F167" i="1"/>
  <c r="G84" i="1"/>
  <c r="J84" i="1" s="1"/>
  <c r="T149" i="1" l="1"/>
  <c r="N168" i="1" l="1"/>
  <c r="L168" i="1" s="1"/>
  <c r="M168" i="1"/>
  <c r="AA168" i="1" l="1"/>
  <c r="Z168" i="1"/>
  <c r="AA167" i="1"/>
  <c r="Z167" i="1"/>
  <c r="S99" i="1" l="1"/>
  <c r="O99" i="1"/>
  <c r="O33" i="1"/>
  <c r="O32" i="1"/>
  <c r="O31" i="1"/>
  <c r="O30" i="1"/>
  <c r="O29" i="1"/>
  <c r="O27" i="1"/>
  <c r="O19" i="1"/>
  <c r="O18" i="1"/>
  <c r="O17" i="1"/>
  <c r="O14" i="1"/>
  <c r="O16" i="1"/>
  <c r="O13" i="1"/>
  <c r="O11" i="1"/>
  <c r="O10" i="1"/>
  <c r="O39" i="1" l="1"/>
  <c r="J80" i="1" l="1"/>
  <c r="Y118" i="1" l="1"/>
  <c r="Y125" i="1" s="1"/>
  <c r="V118" i="1" l="1"/>
  <c r="Y27" i="1" l="1"/>
  <c r="Y25" i="1"/>
  <c r="Y168" i="1" l="1"/>
  <c r="Y167" i="1"/>
  <c r="F168" i="1" l="1"/>
  <c r="G132" i="1" l="1"/>
  <c r="J132" i="1" s="1"/>
  <c r="F99" i="1" l="1"/>
  <c r="C128" i="1"/>
  <c r="U106" i="1" l="1"/>
  <c r="Q106" i="1"/>
  <c r="N106" i="1"/>
  <c r="N167" i="1" l="1"/>
  <c r="M167" i="1"/>
  <c r="W44" i="1" l="1"/>
  <c r="W43" i="1"/>
  <c r="W46" i="1"/>
  <c r="W45" i="1"/>
  <c r="W87" i="1"/>
  <c r="W80" i="1"/>
  <c r="V80" i="1"/>
  <c r="C149" i="1" l="1"/>
  <c r="C155" i="1" l="1"/>
  <c r="L167" i="1" l="1"/>
  <c r="S118" i="1" l="1"/>
  <c r="D78" i="1"/>
  <c r="D77" i="1"/>
  <c r="D74" i="1"/>
  <c r="D70" i="1"/>
  <c r="D69" i="1"/>
  <c r="D67" i="1"/>
  <c r="C78" i="1" l="1"/>
  <c r="C77" i="1"/>
  <c r="C76" i="1"/>
  <c r="T80" i="1" l="1"/>
  <c r="T46" i="1"/>
  <c r="T45" i="1"/>
  <c r="T44" i="1"/>
  <c r="T43" i="1"/>
  <c r="O118" i="1"/>
  <c r="L118" i="1"/>
  <c r="P80" i="1" l="1"/>
  <c r="Z80" i="1" s="1"/>
  <c r="S80" i="1"/>
  <c r="O80" i="1"/>
  <c r="Y80" i="1" s="1"/>
  <c r="Z44" i="1"/>
  <c r="Z45" i="1"/>
  <c r="Z46" i="1"/>
  <c r="Z43" i="1"/>
  <c r="M45" i="1"/>
  <c r="O164" i="1" l="1"/>
  <c r="Y164" i="1" s="1"/>
  <c r="O163" i="1"/>
  <c r="Y163" i="1" s="1"/>
  <c r="O162" i="1"/>
  <c r="Y162" i="1" s="1"/>
  <c r="O161" i="1"/>
  <c r="Y161" i="1" s="1"/>
  <c r="O158" i="1"/>
  <c r="Y158" i="1" s="1"/>
  <c r="O156" i="1"/>
  <c r="Y156" i="1" s="1"/>
  <c r="Y155" i="1"/>
  <c r="Y153" i="1"/>
  <c r="P47" i="1"/>
  <c r="P46" i="1"/>
  <c r="P45" i="1"/>
  <c r="P44" i="1"/>
  <c r="P43" i="1"/>
  <c r="Y113" i="1" l="1"/>
  <c r="Y152" i="1" s="1"/>
  <c r="Y151" i="1" s="1"/>
  <c r="D94" i="1"/>
  <c r="C95" i="1"/>
  <c r="D61" i="1"/>
  <c r="D60" i="1"/>
  <c r="C94" i="1" l="1"/>
  <c r="C93" i="1"/>
  <c r="C61" i="1" l="1"/>
  <c r="C60" i="1"/>
  <c r="D59" i="1"/>
  <c r="C59" i="1"/>
  <c r="L99" i="1" l="1"/>
  <c r="L87" i="1"/>
  <c r="L95" i="1"/>
  <c r="L94" i="1"/>
  <c r="L93" i="1"/>
  <c r="M87" i="1"/>
  <c r="L80" i="1"/>
  <c r="M80" i="1"/>
  <c r="M61" i="1"/>
  <c r="L61" i="1"/>
  <c r="M60" i="1"/>
  <c r="L60" i="1"/>
  <c r="M59" i="1"/>
  <c r="L59" i="1"/>
  <c r="M55" i="1"/>
  <c r="M53" i="1" s="1"/>
  <c r="L55" i="1"/>
  <c r="L53" i="1" s="1"/>
  <c r="M44" i="1"/>
  <c r="M46" i="1"/>
  <c r="M47" i="1"/>
  <c r="M43" i="1"/>
  <c r="L25" i="1"/>
  <c r="O25" i="1" s="1"/>
  <c r="I82" i="1" l="1"/>
  <c r="I80" i="1" s="1"/>
  <c r="I102" i="1"/>
  <c r="J87" i="1"/>
  <c r="J47" i="1"/>
  <c r="J46" i="1"/>
  <c r="J44" i="1"/>
  <c r="J45" i="1"/>
  <c r="J43" i="1"/>
  <c r="K106" i="1"/>
  <c r="I152" i="1"/>
  <c r="I151" i="1" s="1"/>
  <c r="F151" i="1"/>
  <c r="G93" i="1"/>
  <c r="I118" i="1" l="1"/>
  <c r="I99" i="1"/>
  <c r="G44" i="1"/>
  <c r="G45" i="1"/>
  <c r="G46" i="1"/>
  <c r="G47" i="1"/>
  <c r="G43" i="1"/>
  <c r="G99" i="1"/>
  <c r="F118" i="1"/>
  <c r="G80" i="1"/>
  <c r="G87" i="1"/>
  <c r="C49" i="1"/>
  <c r="C48" i="1"/>
  <c r="D44" i="1"/>
  <c r="D45" i="1"/>
  <c r="D46" i="1"/>
  <c r="D47" i="1"/>
  <c r="D43" i="1"/>
  <c r="C36" i="1"/>
  <c r="C33" i="1"/>
  <c r="C31" i="1"/>
  <c r="C27" i="1"/>
  <c r="C25" i="1"/>
  <c r="F80" i="1" l="1"/>
  <c r="C63" i="1"/>
  <c r="D62" i="1"/>
  <c r="D57" i="1"/>
  <c r="D53" i="1"/>
  <c r="C53" i="1"/>
  <c r="C103" i="1"/>
  <c r="C84" i="1" s="1"/>
  <c r="D99" i="1"/>
  <c r="C96" i="1"/>
  <c r="C62" i="1" s="1"/>
  <c r="C91" i="1"/>
  <c r="C57" i="1" s="1"/>
  <c r="C90" i="1"/>
  <c r="C89" i="1"/>
  <c r="D87" i="1"/>
  <c r="D84" i="1"/>
  <c r="D83" i="1"/>
  <c r="C83" i="1"/>
  <c r="D82" i="1"/>
  <c r="C82" i="1"/>
  <c r="C118" i="1"/>
  <c r="C124" i="1"/>
  <c r="C125" i="1" s="1"/>
  <c r="E168" i="1"/>
  <c r="D168" i="1"/>
  <c r="E167" i="1"/>
  <c r="D167" i="1"/>
  <c r="C151" i="1"/>
  <c r="C167" i="1" l="1"/>
  <c r="C168" i="1"/>
  <c r="C99" i="1"/>
  <c r="C80" i="1"/>
  <c r="D80" i="1"/>
  <c r="C87" i="1"/>
  <c r="C86" i="1" l="1"/>
  <c r="C66" i="1"/>
  <c r="O86" i="1"/>
  <c r="Y159" i="1" l="1"/>
  <c r="O159" i="1"/>
  <c r="L159" i="1"/>
  <c r="C159" i="1"/>
  <c r="AB159" i="1" l="1"/>
  <c r="R159" i="1"/>
  <c r="C123" i="1"/>
  <c r="AA20" i="1" l="1"/>
  <c r="AA19" i="1"/>
  <c r="X19" i="1"/>
  <c r="X18" i="1"/>
  <c r="U19" i="1"/>
  <c r="Q19" i="1"/>
  <c r="N19" i="1"/>
  <c r="K19" i="1"/>
  <c r="H19" i="1"/>
  <c r="E19" i="1"/>
  <c r="Z166" i="1"/>
  <c r="Y166" i="1"/>
  <c r="W166" i="1"/>
  <c r="V166" i="1"/>
  <c r="T166" i="1"/>
  <c r="S166" i="1"/>
  <c r="P166" i="1"/>
  <c r="O166" i="1"/>
  <c r="M166" i="1"/>
  <c r="L166" i="1"/>
  <c r="J166" i="1"/>
  <c r="I166" i="1"/>
  <c r="G166" i="1"/>
  <c r="F166" i="1"/>
  <c r="D166" i="1"/>
  <c r="C166" i="1"/>
  <c r="Z165" i="1"/>
  <c r="Y165" i="1"/>
  <c r="W165" i="1"/>
  <c r="V165" i="1"/>
  <c r="T165" i="1"/>
  <c r="S165" i="1"/>
  <c r="P165" i="1"/>
  <c r="O165" i="1"/>
  <c r="M165" i="1"/>
  <c r="L165" i="1"/>
  <c r="J165" i="1"/>
  <c r="I165" i="1"/>
  <c r="G165" i="1"/>
  <c r="F165" i="1"/>
  <c r="D165" i="1"/>
  <c r="C165" i="1"/>
  <c r="AB164" i="1"/>
  <c r="R164" i="1"/>
  <c r="AB163" i="1"/>
  <c r="R163" i="1"/>
  <c r="AB162" i="1"/>
  <c r="R162" i="1"/>
  <c r="AB161" i="1"/>
  <c r="R161" i="1"/>
  <c r="S160" i="1"/>
  <c r="O160" i="1"/>
  <c r="Y160" i="1" s="1"/>
  <c r="L160" i="1"/>
  <c r="C160" i="1"/>
  <c r="AB158" i="1"/>
  <c r="R158" i="1"/>
  <c r="AB157" i="1"/>
  <c r="R157" i="1"/>
  <c r="AB156" i="1"/>
  <c r="R156" i="1"/>
  <c r="AB155" i="1"/>
  <c r="R155" i="1"/>
  <c r="AB154" i="1"/>
  <c r="AB153" i="1"/>
  <c r="AB152" i="1"/>
  <c r="AB151" i="1"/>
  <c r="AA150" i="1"/>
  <c r="X150" i="1"/>
  <c r="U150" i="1"/>
  <c r="Q150" i="1"/>
  <c r="N150" i="1"/>
  <c r="K150" i="1"/>
  <c r="H150" i="1"/>
  <c r="E150" i="1"/>
  <c r="AA149" i="1"/>
  <c r="X149" i="1"/>
  <c r="U149" i="1"/>
  <c r="Q149" i="1"/>
  <c r="N149" i="1"/>
  <c r="K149" i="1"/>
  <c r="H149" i="1"/>
  <c r="E149" i="1"/>
  <c r="Z145" i="1"/>
  <c r="Y145" i="1"/>
  <c r="W145" i="1"/>
  <c r="V145" i="1"/>
  <c r="T145" i="1"/>
  <c r="S145" i="1"/>
  <c r="P145" i="1"/>
  <c r="O145" i="1"/>
  <c r="M145" i="1"/>
  <c r="L145" i="1"/>
  <c r="J145" i="1"/>
  <c r="I145" i="1"/>
  <c r="G145" i="1"/>
  <c r="F145" i="1"/>
  <c r="D145" i="1"/>
  <c r="C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AA132" i="1"/>
  <c r="X132" i="1"/>
  <c r="U132" i="1"/>
  <c r="Q132" i="1"/>
  <c r="N132" i="1"/>
  <c r="K132" i="1"/>
  <c r="H132" i="1"/>
  <c r="E132" i="1"/>
  <c r="AA131" i="1"/>
  <c r="X131" i="1"/>
  <c r="U131" i="1"/>
  <c r="Q131" i="1"/>
  <c r="N131" i="1"/>
  <c r="K131" i="1"/>
  <c r="H131" i="1"/>
  <c r="H145" i="1" s="1"/>
  <c r="E131" i="1"/>
  <c r="Z130" i="1"/>
  <c r="Y130" i="1"/>
  <c r="W130" i="1"/>
  <c r="V130" i="1"/>
  <c r="T130" i="1"/>
  <c r="S130" i="1"/>
  <c r="P130" i="1"/>
  <c r="O130" i="1"/>
  <c r="M130" i="1"/>
  <c r="L130" i="1"/>
  <c r="J130" i="1"/>
  <c r="I130" i="1"/>
  <c r="G130" i="1"/>
  <c r="F130" i="1"/>
  <c r="D130" i="1"/>
  <c r="C130" i="1"/>
  <c r="AB129" i="1"/>
  <c r="S123" i="1"/>
  <c r="I123" i="1"/>
  <c r="F123" i="1"/>
  <c r="Y115" i="1"/>
  <c r="V115" i="1"/>
  <c r="S115" i="1"/>
  <c r="O115" i="1"/>
  <c r="L115" i="1"/>
  <c r="I115" i="1"/>
  <c r="F115" i="1"/>
  <c r="C115" i="1"/>
  <c r="Y110" i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W52" i="1"/>
  <c r="V52" i="1"/>
  <c r="T52" i="1"/>
  <c r="S52" i="1"/>
  <c r="P52" i="1"/>
  <c r="O52" i="1"/>
  <c r="O51" i="1" s="1"/>
  <c r="O104" i="1" s="1"/>
  <c r="M52" i="1"/>
  <c r="L52" i="1"/>
  <c r="J52" i="1"/>
  <c r="I52" i="1"/>
  <c r="G52" i="1"/>
  <c r="F52" i="1"/>
  <c r="D52" i="1"/>
  <c r="D51" i="1" s="1"/>
  <c r="D104" i="1" s="1"/>
  <c r="D146" i="1" s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Y39" i="1"/>
  <c r="AA39" i="1" s="1"/>
  <c r="V39" i="1"/>
  <c r="X39" i="1" s="1"/>
  <c r="S39" i="1"/>
  <c r="U39" i="1" s="1"/>
  <c r="Q39" i="1"/>
  <c r="L39" i="1"/>
  <c r="N39" i="1" s="1"/>
  <c r="I39" i="1"/>
  <c r="K39" i="1" s="1"/>
  <c r="F39" i="1"/>
  <c r="H39" i="1" s="1"/>
  <c r="C39" i="1"/>
  <c r="E39" i="1" s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V21" i="1"/>
  <c r="T21" i="1"/>
  <c r="T7" i="1" s="1"/>
  <c r="S21" i="1"/>
  <c r="P21" i="1"/>
  <c r="P7" i="1" s="1"/>
  <c r="O21" i="1"/>
  <c r="M21" i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Y8" i="1" s="1"/>
  <c r="AA8" i="1" s="1"/>
  <c r="W12" i="1"/>
  <c r="V12" i="1"/>
  <c r="V8" i="1" s="1"/>
  <c r="T12" i="1"/>
  <c r="S12" i="1"/>
  <c r="S8" i="1" s="1"/>
  <c r="U8" i="1" s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W7" i="1"/>
  <c r="M7" i="1"/>
  <c r="E12" i="1" l="1"/>
  <c r="K12" i="1"/>
  <c r="Q12" i="1"/>
  <c r="S51" i="1"/>
  <c r="S104" i="1" s="1"/>
  <c r="Y51" i="1"/>
  <c r="Y104" i="1" s="1"/>
  <c r="U145" i="1"/>
  <c r="F51" i="1"/>
  <c r="F104" i="1" s="1"/>
  <c r="F146" i="1" s="1"/>
  <c r="L51" i="1"/>
  <c r="L104" i="1" s="1"/>
  <c r="X145" i="1"/>
  <c r="M51" i="1"/>
  <c r="M104" i="1" s="1"/>
  <c r="T51" i="1"/>
  <c r="T104" i="1" s="1"/>
  <c r="T146" i="1" s="1"/>
  <c r="Z51" i="1"/>
  <c r="Z104" i="1" s="1"/>
  <c r="Z146" i="1" s="1"/>
  <c r="V51" i="1"/>
  <c r="V104" i="1" s="1"/>
  <c r="V146" i="1" s="1"/>
  <c r="E166" i="1"/>
  <c r="J51" i="1"/>
  <c r="J104" i="1" s="1"/>
  <c r="J146" i="1" s="1"/>
  <c r="K145" i="1"/>
  <c r="AB18" i="1"/>
  <c r="X166" i="1"/>
  <c r="AB42" i="1"/>
  <c r="X165" i="1"/>
  <c r="W51" i="1"/>
  <c r="W104" i="1" s="1"/>
  <c r="W146" i="1" s="1"/>
  <c r="Q165" i="1"/>
  <c r="Q166" i="1"/>
  <c r="P51" i="1"/>
  <c r="P104" i="1" s="1"/>
  <c r="P146" i="1" s="1"/>
  <c r="T6" i="1"/>
  <c r="T50" i="1" s="1"/>
  <c r="AA165" i="1"/>
  <c r="AA166" i="1"/>
  <c r="AB166" i="1" s="1"/>
  <c r="AB140" i="1"/>
  <c r="M6" i="1"/>
  <c r="M50" i="1" s="1"/>
  <c r="Z6" i="1"/>
  <c r="Z50" i="1" s="1"/>
  <c r="U165" i="1"/>
  <c r="U166" i="1"/>
  <c r="P6" i="1"/>
  <c r="P50" i="1" s="1"/>
  <c r="O38" i="1"/>
  <c r="Q38" i="1" s="1"/>
  <c r="N165" i="1"/>
  <c r="N166" i="1"/>
  <c r="M105" i="1"/>
  <c r="L38" i="1"/>
  <c r="I51" i="1"/>
  <c r="I104" i="1" s="1"/>
  <c r="I146" i="1" s="1"/>
  <c r="K165" i="1"/>
  <c r="K166" i="1"/>
  <c r="J6" i="1"/>
  <c r="J50" i="1" s="1"/>
  <c r="I38" i="1"/>
  <c r="I8" i="1"/>
  <c r="K8" i="1" s="1"/>
  <c r="G51" i="1"/>
  <c r="G104" i="1" s="1"/>
  <c r="G146" i="1" s="1"/>
  <c r="H166" i="1"/>
  <c r="G6" i="1"/>
  <c r="G50" i="1" s="1"/>
  <c r="F38" i="1"/>
  <c r="H38" i="1" s="1"/>
  <c r="H165" i="1"/>
  <c r="D6" i="1"/>
  <c r="D50" i="1" s="1"/>
  <c r="D105" i="1" s="1"/>
  <c r="AB43" i="1"/>
  <c r="AB46" i="1"/>
  <c r="AB44" i="1"/>
  <c r="C38" i="1"/>
  <c r="E38" i="1" s="1"/>
  <c r="AB40" i="1"/>
  <c r="C8" i="1"/>
  <c r="E8" i="1" s="1"/>
  <c r="AB8" i="1" s="1"/>
  <c r="E165" i="1"/>
  <c r="X12" i="1"/>
  <c r="R14" i="1"/>
  <c r="H21" i="1"/>
  <c r="N21" i="1"/>
  <c r="AA21" i="1"/>
  <c r="W6" i="1"/>
  <c r="W50" i="1" s="1"/>
  <c r="AB47" i="1"/>
  <c r="AB48" i="1"/>
  <c r="E21" i="1"/>
  <c r="K21" i="1"/>
  <c r="Q21" i="1"/>
  <c r="X21" i="1"/>
  <c r="R40" i="1"/>
  <c r="R48" i="1"/>
  <c r="R140" i="1"/>
  <c r="R142" i="1"/>
  <c r="AB141" i="1"/>
  <c r="AB142" i="1"/>
  <c r="AB132" i="1"/>
  <c r="AB133" i="1"/>
  <c r="AB134" i="1"/>
  <c r="AB135" i="1"/>
  <c r="AB136" i="1"/>
  <c r="AB137" i="1"/>
  <c r="AB138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H130" i="1"/>
  <c r="N130" i="1"/>
  <c r="U130" i="1"/>
  <c r="AA130" i="1"/>
  <c r="AB143" i="1"/>
  <c r="AB144" i="1"/>
  <c r="R41" i="1"/>
  <c r="R141" i="1"/>
  <c r="R13" i="1"/>
  <c r="R17" i="1"/>
  <c r="R18" i="1"/>
  <c r="N145" i="1"/>
  <c r="AA145" i="1"/>
  <c r="AB19" i="1"/>
  <c r="R49" i="1"/>
  <c r="R10" i="1"/>
  <c r="R15" i="1"/>
  <c r="R16" i="1"/>
  <c r="R43" i="1"/>
  <c r="R47" i="1"/>
  <c r="Y7" i="1"/>
  <c r="AA7" i="1" s="1"/>
  <c r="O8" i="1"/>
  <c r="U21" i="1"/>
  <c r="S7" i="1"/>
  <c r="U7" i="1" s="1"/>
  <c r="V38" i="1"/>
  <c r="V37" i="1" s="1"/>
  <c r="X37" i="1" s="1"/>
  <c r="AB41" i="1"/>
  <c r="AB45" i="1"/>
  <c r="AB49" i="1"/>
  <c r="H12" i="1"/>
  <c r="N12" i="1"/>
  <c r="U12" i="1"/>
  <c r="AA12" i="1"/>
  <c r="AB12" i="1" s="1"/>
  <c r="AB23" i="1"/>
  <c r="AB24" i="1"/>
  <c r="AB26" i="1"/>
  <c r="AB29" i="1"/>
  <c r="AB30" i="1"/>
  <c r="AB31" i="1"/>
  <c r="AB32" i="1"/>
  <c r="AB33" i="1"/>
  <c r="AB35" i="1"/>
  <c r="AB36" i="1"/>
  <c r="M146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0" i="1"/>
  <c r="K130" i="1"/>
  <c r="Q130" i="1"/>
  <c r="X130" i="1"/>
  <c r="E145" i="1"/>
  <c r="Q145" i="1"/>
  <c r="R132" i="1"/>
  <c r="R133" i="1"/>
  <c r="R134" i="1"/>
  <c r="R135" i="1"/>
  <c r="R136" i="1"/>
  <c r="R137" i="1"/>
  <c r="R138" i="1"/>
  <c r="AB139" i="1"/>
  <c r="R139" i="1"/>
  <c r="R23" i="1"/>
  <c r="R39" i="1"/>
  <c r="F8" i="1"/>
  <c r="L8" i="1"/>
  <c r="E52" i="1"/>
  <c r="AB39" i="1"/>
  <c r="R149" i="1"/>
  <c r="R150" i="1"/>
  <c r="R160" i="1"/>
  <c r="AB160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R66" i="1" s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1" i="1"/>
  <c r="AB131" i="1"/>
  <c r="AB149" i="1"/>
  <c r="AB150" i="1"/>
  <c r="R19" i="1"/>
  <c r="R12" i="1"/>
  <c r="C146" i="1"/>
  <c r="E104" i="1"/>
  <c r="E51" i="1"/>
  <c r="O146" i="1"/>
  <c r="S38" i="1"/>
  <c r="Y38" i="1"/>
  <c r="S146" i="1"/>
  <c r="N104" i="1"/>
  <c r="N146" i="1" s="1"/>
  <c r="L146" i="1"/>
  <c r="N51" i="1"/>
  <c r="R55" i="1"/>
  <c r="AB55" i="1"/>
  <c r="R59" i="1"/>
  <c r="AB59" i="1"/>
  <c r="R94" i="1"/>
  <c r="R95" i="1"/>
  <c r="AB91" i="1"/>
  <c r="R143" i="1"/>
  <c r="R144" i="1"/>
  <c r="H104" i="1" l="1"/>
  <c r="H146" i="1" s="1"/>
  <c r="AB21" i="1"/>
  <c r="AA104" i="1"/>
  <c r="AB104" i="1" s="1"/>
  <c r="U104" i="1"/>
  <c r="U146" i="1" s="1"/>
  <c r="Y146" i="1"/>
  <c r="J105" i="1"/>
  <c r="AA51" i="1"/>
  <c r="AB51" i="1" s="1"/>
  <c r="O37" i="1"/>
  <c r="Q37" i="1" s="1"/>
  <c r="H51" i="1"/>
  <c r="R38" i="1"/>
  <c r="Z105" i="1"/>
  <c r="Y124" i="1" s="1"/>
  <c r="Y123" i="1" s="1"/>
  <c r="U51" i="1"/>
  <c r="T105" i="1"/>
  <c r="R166" i="1"/>
  <c r="AB130" i="1"/>
  <c r="R165" i="1"/>
  <c r="Q51" i="1"/>
  <c r="R51" i="1" s="1"/>
  <c r="Q104" i="1"/>
  <c r="Q146" i="1" s="1"/>
  <c r="X104" i="1"/>
  <c r="X146" i="1" s="1"/>
  <c r="X51" i="1"/>
  <c r="AB165" i="1"/>
  <c r="G105" i="1"/>
  <c r="R145" i="1"/>
  <c r="W105" i="1"/>
  <c r="P105" i="1"/>
  <c r="R52" i="1"/>
  <c r="R21" i="1"/>
  <c r="X38" i="1"/>
  <c r="N38" i="1"/>
  <c r="L37" i="1"/>
  <c r="N37" i="1" s="1"/>
  <c r="K104" i="1"/>
  <c r="K146" i="1" s="1"/>
  <c r="K51" i="1"/>
  <c r="K38" i="1"/>
  <c r="I37" i="1"/>
  <c r="K37" i="1" s="1"/>
  <c r="I7" i="1"/>
  <c r="F37" i="1"/>
  <c r="H37" i="1" s="1"/>
  <c r="C37" i="1"/>
  <c r="E37" i="1" s="1"/>
  <c r="C7" i="1"/>
  <c r="R86" i="1"/>
  <c r="AB52" i="1"/>
  <c r="R130" i="1"/>
  <c r="E146" i="1"/>
  <c r="AB145" i="1"/>
  <c r="AB86" i="1"/>
  <c r="AB66" i="1"/>
  <c r="Q8" i="1"/>
  <c r="R8" i="1" s="1"/>
  <c r="O7" i="1"/>
  <c r="X8" i="1"/>
  <c r="V7" i="1"/>
  <c r="H8" i="1"/>
  <c r="F7" i="1"/>
  <c r="N8" i="1"/>
  <c r="L7" i="1"/>
  <c r="AA38" i="1"/>
  <c r="AB38" i="1" s="1"/>
  <c r="Y37" i="1"/>
  <c r="U38" i="1"/>
  <c r="S37" i="1"/>
  <c r="AA146" i="1" l="1"/>
  <c r="R37" i="1"/>
  <c r="R104" i="1"/>
  <c r="I6" i="1"/>
  <c r="K7" i="1"/>
  <c r="E7" i="1"/>
  <c r="AB7" i="1" s="1"/>
  <c r="C6" i="1"/>
  <c r="Q7" i="1"/>
  <c r="O6" i="1"/>
  <c r="H7" i="1"/>
  <c r="F6" i="1"/>
  <c r="X7" i="1"/>
  <c r="V6" i="1"/>
  <c r="N7" i="1"/>
  <c r="L6" i="1"/>
  <c r="AA37" i="1"/>
  <c r="AB37" i="1" s="1"/>
  <c r="Y6" i="1"/>
  <c r="U37" i="1"/>
  <c r="S6" i="1"/>
  <c r="R7" i="1" l="1"/>
  <c r="I50" i="1"/>
  <c r="K6" i="1"/>
  <c r="K50" i="1" s="1"/>
  <c r="C50" i="1"/>
  <c r="E6" i="1"/>
  <c r="E50" i="1" s="1"/>
  <c r="E105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C105" i="1"/>
  <c r="C109" i="1"/>
  <c r="C107" i="1" s="1"/>
  <c r="R6" i="1"/>
  <c r="Q50" i="1"/>
  <c r="O105" i="1"/>
  <c r="O109" i="1"/>
  <c r="O107" i="1" s="1"/>
  <c r="V105" i="1"/>
  <c r="X105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V123" i="1" l="1"/>
  <c r="R50" i="1"/>
  <c r="Q105" i="1"/>
</calcChain>
</file>

<file path=xl/comments1.xml><?xml version="1.0" encoding="utf-8"?>
<comments xmlns="http://schemas.openxmlformats.org/spreadsheetml/2006/main">
  <authors>
    <author>Пикина Надежда Анатольевна</author>
  </authors>
  <commentList>
    <comment ref="L155" authorId="0">
      <text>
        <r>
          <rPr>
            <b/>
            <sz val="9"/>
            <color indexed="81"/>
            <rFont val="Tahoma"/>
            <family val="2"/>
            <charset val="204"/>
          </rPr>
          <t>Пикина Надежда Анатольевна: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<sst xmlns="http://schemas.openxmlformats.org/spreadsheetml/2006/main" count="915" uniqueCount="228">
  <si>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</si>
  <si>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</si>
  <si>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</si>
  <si>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</si>
  <si>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</si>
  <si>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</si>
  <si>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</si>
  <si>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</si>
  <si>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</si>
  <si>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</si>
  <si>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</si>
  <si>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</si>
  <si>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</si>
  <si>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</si>
  <si>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</si>
  <si>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</si>
  <si>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</si>
  <si>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</si>
  <si>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</si>
  <si>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</si>
  <si>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</si>
  <si>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</si>
  <si>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</si>
  <si>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</si>
  <si>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</si>
  <si>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</si>
  <si>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</si>
  <si>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</si>
  <si>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</si>
  <si>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</si>
  <si>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</si>
  <si>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</si>
  <si>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</si>
  <si>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</si>
  <si>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</si>
  <si>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</si>
  <si>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</si>
  <si>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</si>
  <si>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</si>
  <si>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</si>
  <si>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</si>
  <si>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</si>
  <si>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</si>
  <si>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</si>
  <si>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</si>
  <si>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</si>
  <si>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</si>
  <si>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</si>
  <si>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</si>
  <si>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</si>
  <si>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</si>
  <si>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</si>
  <si>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</si>
  <si>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</si>
  <si>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</si>
  <si>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</si>
  <si>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</si>
  <si>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</si>
  <si>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</si>
  <si>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</si>
  <si>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</si>
  <si>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</si>
  <si>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</si>
  <si>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</si>
  <si>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</si>
  <si>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</si>
  <si>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</si>
  <si>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</si>
  <si>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</si>
  <si>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</si>
  <si>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</si>
  <si>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</si>
  <si>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</si>
  <si>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</si>
  <si>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</si>
  <si>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</si>
  <si>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</si>
  <si>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</si>
  <si>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</si>
  <si>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</si>
  <si>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</si>
  <si>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</si>
  <si>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</si>
  <si>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</si>
  <si>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</si>
  <si>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</si>
  <si>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</si>
  <si>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</si>
  <si>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</si>
  <si>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</si>
  <si>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</si>
  <si>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</si>
  <si>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</si>
  <si>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</si>
  <si>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</si>
  <si>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</si>
  <si>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</si>
  <si>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</si>
  <si>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</si>
  <si>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</si>
  <si>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</si>
  <si>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</si>
  <si>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</si>
  <si>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</si>
  <si>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</si>
  <si>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</si>
  <si>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</si>
  <si>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</si>
  <si>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</si>
  <si>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</si>
  <si>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</si>
  <si>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</si>
  <si>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</si>
  <si>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</si>
  <si>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</si>
  <si>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</si>
  <si>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</si>
  <si>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</si>
  <si>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</si>
  <si>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</si>
  <si>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</si>
  <si>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</si>
  <si>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</si>
  <si>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</si>
  <si>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</si>
  <si>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</si>
  <si>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</si>
  <si>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</si>
  <si>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</si>
  <si>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</si>
  <si>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</si>
  <si>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</si>
  <si>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</si>
  <si>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</si>
  <si>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</si>
  <si>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</si>
  <si>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</si>
  <si>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</si>
  <si>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</si>
  <si>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</si>
  <si>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</si>
  <si>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</si>
  <si>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</si>
  <si>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</si>
  <si>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</si>
  <si>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</si>
  <si>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</si>
  <si>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</si>
  <si>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</si>
  <si>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</si>
  <si>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</si>
  <si>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</si>
  <si>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</si>
  <si>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</si>
  <si>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</si>
  <si>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</si>
  <si>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</si>
  <si>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</si>
  <si>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</si>
  <si>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</si>
  <si>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</si>
  <si>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</si>
  <si>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</si>
  <si>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</si>
  <si>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</si>
  <si>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</si>
  <si>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</si>
  <si>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</si>
  <si>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</si>
  <si>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</si>
  <si>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</si>
  <si>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</si>
  <si>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</si>
  <si>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</si>
  <si>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</si>
  <si>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</si>
  <si>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</si>
  <si>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</si>
  <si>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</si>
  <si>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</si>
  <si>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</si>
  <si>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</si>
  <si>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</si>
  <si>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</si>
  <si>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</si>
  <si>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</si>
  <si>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</si>
  <si>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</si>
  <si>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</si>
  <si>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</si>
  <si>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</si>
  <si>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</si>
  <si>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</si>
  <si>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</si>
  <si>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</si>
  <si>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</si>
  <si>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</si>
  <si>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</si>
  <si>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</si>
  <si>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</si>
  <si>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</si>
  <si>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</si>
  <si>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</si>
  <si>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</si>
  <si>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</si>
  <si>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</si>
  <si>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</si>
  <si>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</si>
  <si>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</si>
  <si>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</si>
  <si>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2023 год</t>
  </si>
  <si>
    <t>Ожидаемая оценка исполнения за 2023 год</t>
  </si>
  <si>
    <t>- за счет привлечения остатков средств бюджетных и автономных учреждений</t>
  </si>
  <si>
    <t>2022 год (отчетный год)</t>
  </si>
  <si>
    <t>Темп роста к исполнению  2022 г. без ЦС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</si>
  <si>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</si>
  <si>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</si>
  <si>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</si>
  <si>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</si>
  <si>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</si>
  <si>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</si>
  <si>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Паспорт муниципального образования Печенгский муниципальный округ по исполнению бюджета на "01" июля 2023года</t>
  </si>
  <si>
    <t>Исполнено на 01.07.2023 (n)</t>
  </si>
  <si>
    <t>Ожидаемое исполнение за июль (n+1)</t>
  </si>
  <si>
    <t>Исполнено за июль (месяц n+1)</t>
  </si>
  <si>
    <t>Исполнено на 01.07.2022 (n)</t>
  </si>
  <si>
    <t xml:space="preserve">"10"июля 2023 г. </t>
  </si>
  <si>
    <t>Исполнитель заместитель начальника финансового управления   __________ Н.А.Пикина , (8815-54)-50270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</si>
</sst>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6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3" fillId="2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NumberFormat="1" applyFont="1" applyFill="1" applyBorder="1" applyAlignment="1" applyProtection="1">
      <alignment horizontal="center"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wrapText="1"/>
      <protection locked="0"/>
    </xf>
    <xf numFmtId="0" fontId="18" fillId="7" borderId="3" xfId="0" applyNumberFormat="1" applyFont="1" applyFill="1" applyBorder="1" applyAlignment="1" applyProtection="1">
      <alignment horizont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3" fontId="0" fillId="2" borderId="3" xfId="0" applyNumberFormat="1" applyFont="1" applyFill="1" applyBorder="1" applyAlignment="1" applyProtection="1">
      <alignment wrapText="1"/>
    </xf>
    <xf numFmtId="0" fontId="0" fillId="0" borderId="0" xfId="0" applyProtection="1"/>
    <xf numFmtId="0" fontId="18" fillId="0" borderId="3" xfId="0" applyFont="1" applyFill="1" applyBorder="1" applyAlignment="1" applyProtection="1">
      <alignment wrapText="1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5" fillId="7" borderId="3" xfId="0" applyNumberFormat="1" applyFont="1" applyFill="1" applyBorder="1" applyAlignment="1" applyProtection="1">
      <alignment horizont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93"/>
  <sheetViews>
    <sheetView tabSelected="1" view="pageBreakPreview" zoomScale="90" zoomScaleNormal="100" zoomScaleSheetLayoutView="90" workbookViewId="0">
      <pane xSplit="2" ySplit="6" topLeftCell="I118" activePane="bottomRight" state="frozen"/>
      <selection pane="topRight" activeCell="C1" sqref="C1"/>
      <selection pane="bottomLeft" activeCell="A7" sqref="A7"/>
      <selection pane="bottomRight" activeCell="K127" sqref="K127"/>
    </sheetView>
  </sheetViews>
  <sheetFormatPr defaultRowHeight="15" x14ac:dyDescent="0.25"/>
  <cols>
    <col min="1" max="1" width="4" customWidth="1"/>
    <col min="2" max="2" width="39.28515625" customWidth="1"/>
    <col min="3" max="17" width="12.42578125" customWidth="1"/>
    <col min="19" max="27" width="11" customWidth="1"/>
  </cols>
  <sheetData>
    <row r="1" spans="1:28" ht="18.75" x14ac:dyDescent="0.25">
      <c r="A1" s="1"/>
      <c r="B1" s="2"/>
      <c r="C1" s="188" t="s">
        <v>221</v>
      </c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3"/>
      <c r="Z1" s="4" t="s">
        <v>0</v>
      </c>
      <c r="AA1" s="3"/>
      <c r="AB1" s="5"/>
    </row>
    <row r="2" spans="1:28" x14ac:dyDescent="0.25">
      <c r="A2" s="189" t="s">
        <v>1</v>
      </c>
      <c r="B2" s="192" t="s">
        <v>2</v>
      </c>
      <c r="C2" s="193" t="s">
        <v>213</v>
      </c>
      <c r="D2" s="194"/>
      <c r="E2" s="194"/>
      <c r="F2" s="194"/>
      <c r="G2" s="194"/>
      <c r="H2" s="194"/>
      <c r="I2" s="194"/>
      <c r="J2" s="194"/>
      <c r="K2" s="195"/>
      <c r="L2" s="193" t="s">
        <v>210</v>
      </c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5"/>
    </row>
    <row r="3" spans="1:28" ht="24" customHeight="1" x14ac:dyDescent="0.25">
      <c r="A3" s="190"/>
      <c r="B3" s="192"/>
      <c r="C3" s="173" t="s">
        <v>3</v>
      </c>
      <c r="D3" s="173"/>
      <c r="E3" s="173"/>
      <c r="F3" s="196" t="s">
        <v>225</v>
      </c>
      <c r="G3" s="196"/>
      <c r="H3" s="196"/>
      <c r="I3" s="197" t="s">
        <v>224</v>
      </c>
      <c r="J3" s="198"/>
      <c r="K3" s="199"/>
      <c r="L3" s="175" t="s">
        <v>4</v>
      </c>
      <c r="M3" s="175"/>
      <c r="N3" s="175"/>
      <c r="O3" s="175" t="s">
        <v>5</v>
      </c>
      <c r="P3" s="175"/>
      <c r="Q3" s="175"/>
      <c r="R3" s="178" t="s">
        <v>220</v>
      </c>
      <c r="S3" s="180" t="s">
        <v>222</v>
      </c>
      <c r="T3" s="181"/>
      <c r="U3" s="182"/>
      <c r="V3" s="180" t="s">
        <v>223</v>
      </c>
      <c r="W3" s="181"/>
      <c r="X3" s="182"/>
      <c r="Y3" s="183" t="s">
        <v>211</v>
      </c>
      <c r="Z3" s="184"/>
      <c r="AA3" s="185"/>
      <c r="AB3" s="178" t="s">
        <v>214</v>
      </c>
    </row>
    <row r="4" spans="1:28" x14ac:dyDescent="0.25">
      <c r="A4" s="190"/>
      <c r="B4" s="192"/>
      <c r="C4" s="173" t="s">
        <v>6</v>
      </c>
      <c r="D4" s="173" t="s">
        <v>7</v>
      </c>
      <c r="E4" s="173"/>
      <c r="F4" s="173" t="s">
        <v>6</v>
      </c>
      <c r="G4" s="173" t="s">
        <v>8</v>
      </c>
      <c r="H4" s="173"/>
      <c r="I4" s="173" t="s">
        <v>6</v>
      </c>
      <c r="J4" s="173" t="s">
        <v>8</v>
      </c>
      <c r="K4" s="173"/>
      <c r="L4" s="174" t="s">
        <v>6</v>
      </c>
      <c r="M4" s="175" t="s">
        <v>7</v>
      </c>
      <c r="N4" s="175"/>
      <c r="O4" s="174" t="s">
        <v>6</v>
      </c>
      <c r="P4" s="175" t="s">
        <v>7</v>
      </c>
      <c r="Q4" s="175"/>
      <c r="R4" s="179"/>
      <c r="S4" s="176" t="s">
        <v>6</v>
      </c>
      <c r="T4" s="186" t="s">
        <v>8</v>
      </c>
      <c r="U4" s="187"/>
      <c r="V4" s="176" t="s">
        <v>6</v>
      </c>
      <c r="W4" s="186" t="s">
        <v>8</v>
      </c>
      <c r="X4" s="187"/>
      <c r="Y4" s="176" t="s">
        <v>6</v>
      </c>
      <c r="Z4" s="186" t="s">
        <v>8</v>
      </c>
      <c r="AA4" s="187"/>
      <c r="AB4" s="178"/>
    </row>
    <row r="5" spans="1:28" ht="38.25" x14ac:dyDescent="0.25">
      <c r="A5" s="191"/>
      <c r="B5" s="192"/>
      <c r="C5" s="173"/>
      <c r="D5" s="6" t="s">
        <v>208</v>
      </c>
      <c r="E5" s="7" t="s">
        <v>9</v>
      </c>
      <c r="F5" s="173"/>
      <c r="G5" s="6" t="s">
        <v>208</v>
      </c>
      <c r="H5" s="8" t="s">
        <v>9</v>
      </c>
      <c r="I5" s="173"/>
      <c r="J5" s="6" t="s">
        <v>208</v>
      </c>
      <c r="K5" s="8" t="s">
        <v>9</v>
      </c>
      <c r="L5" s="174"/>
      <c r="M5" s="9" t="s">
        <v>208</v>
      </c>
      <c r="N5" s="10" t="s">
        <v>9</v>
      </c>
      <c r="O5" s="174"/>
      <c r="P5" s="9" t="s">
        <v>208</v>
      </c>
      <c r="Q5" s="10" t="s">
        <v>9</v>
      </c>
      <c r="R5" s="179"/>
      <c r="S5" s="177"/>
      <c r="T5" s="9" t="s">
        <v>208</v>
      </c>
      <c r="U5" s="10" t="s">
        <v>10</v>
      </c>
      <c r="V5" s="177"/>
      <c r="W5" s="9" t="s">
        <v>208</v>
      </c>
      <c r="X5" s="10" t="s">
        <v>10</v>
      </c>
      <c r="Y5" s="177"/>
      <c r="Z5" s="9" t="s">
        <v>208</v>
      </c>
      <c r="AA5" s="10" t="s">
        <v>10</v>
      </c>
      <c r="AB5" s="178"/>
    </row>
    <row r="6" spans="1:28" x14ac:dyDescent="0.25">
      <c r="A6" s="11" t="s">
        <v>11</v>
      </c>
      <c r="B6" s="12" t="s">
        <v>12</v>
      </c>
      <c r="C6" s="13">
        <f>C7+C37</f>
        <v>3373105.6049599997</v>
      </c>
      <c r="D6" s="13">
        <f>D7+D37</f>
        <v>1954556.6343900003</v>
      </c>
      <c r="E6" s="13">
        <f>C6-D6</f>
        <v>1418548.9705699994</v>
      </c>
      <c r="F6" s="13">
        <f>F7+F37</f>
        <v>1154132.9072</v>
      </c>
      <c r="G6" s="13">
        <f>G7+G37</f>
        <v>593356.83703000005</v>
      </c>
      <c r="H6" s="13">
        <f>F6-G6</f>
        <v>560776.07016999996</v>
      </c>
      <c r="I6" s="13">
        <f>I7+I37</f>
        <v>283186.26089000009</v>
      </c>
      <c r="J6" s="13">
        <f>J7+J37</f>
        <v>196653.50239000001</v>
      </c>
      <c r="K6" s="13">
        <f>I6-J6</f>
        <v>86532.758500000084</v>
      </c>
      <c r="L6" s="13">
        <f>L7+L37</f>
        <v>3048860.58164</v>
      </c>
      <c r="M6" s="13">
        <f>M7+M37</f>
        <v>1741913.41864</v>
      </c>
      <c r="N6" s="13">
        <f>L6-M6</f>
        <v>1306947.1629999999</v>
      </c>
      <c r="O6" s="13">
        <f>O7+O37</f>
        <v>3373864.1934999996</v>
      </c>
      <c r="P6" s="13">
        <f>P7+P37</f>
        <v>2065673.1305</v>
      </c>
      <c r="Q6" s="13">
        <f>O6-P6</f>
        <v>1308191.0629999996</v>
      </c>
      <c r="R6" s="14">
        <f>Q6/E6</f>
        <v>0.92220366736746784</v>
      </c>
      <c r="S6" s="13">
        <f>S7+S37</f>
        <v>1413106.7613400002</v>
      </c>
      <c r="T6" s="13">
        <f>T7+T37</f>
        <v>743205.63014999998</v>
      </c>
      <c r="U6" s="13">
        <f>S6-T6</f>
        <v>669901.13119000022</v>
      </c>
      <c r="V6" s="13">
        <f>V7+V37</f>
        <v>245741.61852999998</v>
      </c>
      <c r="W6" s="13">
        <f>W7+W37</f>
        <v>204369.9</v>
      </c>
      <c r="X6" s="13">
        <f>V6-W6</f>
        <v>41371.718529999984</v>
      </c>
      <c r="Y6" s="13">
        <f>Y7+Y37</f>
        <v>3000106.9002</v>
      </c>
      <c r="Z6" s="13">
        <f>Z7+Z37</f>
        <v>1688132.04116</v>
      </c>
      <c r="AA6" s="13">
        <f>Y6-Z6</f>
        <v>1311974.85904</v>
      </c>
      <c r="AB6" s="14">
        <f>AA6/E6</f>
        <v>0.92487103812343119</v>
      </c>
    </row>
    <row r="7" spans="1:28" x14ac:dyDescent="0.25">
      <c r="A7" s="15" t="s">
        <v>13</v>
      </c>
      <c r="B7" s="16" t="s">
        <v>14</v>
      </c>
      <c r="C7" s="17">
        <f>C8+C21</f>
        <v>1074441.8439099998</v>
      </c>
      <c r="D7" s="17">
        <f>D8+D21</f>
        <v>1873.90669</v>
      </c>
      <c r="E7" s="18">
        <f t="shared" ref="E7:E99" si="0">C7-D7</f>
        <v>1072567.9372199997</v>
      </c>
      <c r="F7" s="17">
        <f>F8+F21</f>
        <v>485047.06532999995</v>
      </c>
      <c r="G7" s="17">
        <f>G8+G21</f>
        <v>625.02601000000004</v>
      </c>
      <c r="H7" s="18">
        <f t="shared" ref="H7:H49" si="1">F7-G7</f>
        <v>484422.03931999998</v>
      </c>
      <c r="I7" s="17">
        <f>I8+I21</f>
        <v>86622.758500000069</v>
      </c>
      <c r="J7" s="17">
        <f>J8+J21</f>
        <v>90</v>
      </c>
      <c r="K7" s="18">
        <f t="shared" ref="K7:K49" si="2">I7-J7</f>
        <v>86532.758500000069</v>
      </c>
      <c r="L7" s="17">
        <f>L8+L21</f>
        <v>983157.78899999987</v>
      </c>
      <c r="M7" s="17">
        <f>M8+M21</f>
        <v>0</v>
      </c>
      <c r="N7" s="18">
        <f t="shared" ref="N7:N49" si="3">L7-M7</f>
        <v>983157.78899999987</v>
      </c>
      <c r="O7" s="17">
        <f>O8+O21</f>
        <v>983392.78899999987</v>
      </c>
      <c r="P7" s="17">
        <f>P8+P21</f>
        <v>235</v>
      </c>
      <c r="Q7" s="18">
        <f t="shared" ref="Q7:Q49" si="4">O7-P7</f>
        <v>983157.78899999987</v>
      </c>
      <c r="R7" s="19">
        <f>Q7/E7</f>
        <v>0.91663917490229763</v>
      </c>
      <c r="S7" s="17">
        <f>S8+S21</f>
        <v>523437.78758</v>
      </c>
      <c r="T7" s="17">
        <f>T8+T21</f>
        <v>489.52810999999997</v>
      </c>
      <c r="U7" s="18">
        <f t="shared" ref="U7:U49" si="5">S7-T7</f>
        <v>522948.25946999999</v>
      </c>
      <c r="V7" s="17">
        <f>V8+V21</f>
        <v>41371.718529999998</v>
      </c>
      <c r="W7" s="17">
        <f>W8+W21</f>
        <v>0</v>
      </c>
      <c r="X7" s="18">
        <f t="shared" ref="X7:X49" si="6">V7-W7</f>
        <v>41371.718529999998</v>
      </c>
      <c r="Y7" s="17">
        <f>Y8+Y21</f>
        <v>987427.35972999991</v>
      </c>
      <c r="Z7" s="17">
        <f>Z8+Z21</f>
        <v>489.52810999999997</v>
      </c>
      <c r="AA7" s="18">
        <f t="shared" ref="AA7:AA49" si="7">Y7-Z7</f>
        <v>986937.83161999995</v>
      </c>
      <c r="AB7" s="19">
        <f t="shared" ref="AB7:AB99" si="8">AA7/E7</f>
        <v>0.9201634669203842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851658.61907999986</v>
      </c>
      <c r="D8" s="22"/>
      <c r="E8" s="18">
        <f t="shared" si="0"/>
        <v>851658.61907999986</v>
      </c>
      <c r="F8" s="22">
        <f>F10+F11+F12+F17+F18+F19+F20</f>
        <v>373414.09728999995</v>
      </c>
      <c r="G8" s="22"/>
      <c r="H8" s="18">
        <f t="shared" si="1"/>
        <v>373414.09728999995</v>
      </c>
      <c r="I8" s="22">
        <f>I10+I11+I12+I17+I18+I19+I20</f>
        <v>73724.333500000066</v>
      </c>
      <c r="J8" s="22"/>
      <c r="K8" s="18">
        <f t="shared" si="2"/>
        <v>73724.333500000066</v>
      </c>
      <c r="L8" s="22">
        <f>L10+L11+L12+L17+L18+L19+L20</f>
        <v>811598.54999999993</v>
      </c>
      <c r="M8" s="22"/>
      <c r="N8" s="18">
        <f t="shared" si="3"/>
        <v>811598.54999999993</v>
      </c>
      <c r="O8" s="22">
        <f>O10+O11+O12+O17+O18+O19+O20</f>
        <v>811598.54999999993</v>
      </c>
      <c r="P8" s="22"/>
      <c r="Q8" s="18">
        <f t="shared" si="4"/>
        <v>811598.54999999993</v>
      </c>
      <c r="R8" s="23">
        <f t="shared" ref="R8:R50" si="9">Q8/E8</f>
        <v>0.95296229242266739</v>
      </c>
      <c r="S8" s="29">
        <f>S10+S11+S12+S17+S18+S19+S20</f>
        <v>423791.21915000002</v>
      </c>
      <c r="T8" s="22"/>
      <c r="U8" s="18">
        <f t="shared" si="5"/>
        <v>423791.21915000002</v>
      </c>
      <c r="V8" s="22">
        <f>V10+V11+V12+V17+V18+V19+V20</f>
        <v>39612.374199999998</v>
      </c>
      <c r="W8" s="22"/>
      <c r="X8" s="18">
        <f t="shared" si="6"/>
        <v>39612.374199999998</v>
      </c>
      <c r="Y8" s="22">
        <f>Y10+Y11+Y12+Y17+Y18+Y19+Y20</f>
        <v>811598.54999999993</v>
      </c>
      <c r="Z8" s="22"/>
      <c r="AA8" s="18">
        <f t="shared" si="7"/>
        <v>811598.54999999993</v>
      </c>
      <c r="AB8" s="23">
        <f t="shared" si="8"/>
        <v>0.95296229242266739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692706.45360999997</v>
      </c>
      <c r="D10" s="26"/>
      <c r="E10" s="18">
        <f t="shared" si="0"/>
        <v>692706.45360999997</v>
      </c>
      <c r="F10" s="26">
        <v>298809.56663999998</v>
      </c>
      <c r="G10" s="26"/>
      <c r="H10" s="18">
        <f t="shared" si="1"/>
        <v>298809.56663999998</v>
      </c>
      <c r="I10" s="26">
        <f>356248.11554-F10</f>
        <v>57438.548900000053</v>
      </c>
      <c r="J10" s="26"/>
      <c r="K10" s="18">
        <f t="shared" si="2"/>
        <v>57438.548900000053</v>
      </c>
      <c r="L10" s="26">
        <v>675049.9</v>
      </c>
      <c r="M10" s="26"/>
      <c r="N10" s="18">
        <f t="shared" si="3"/>
        <v>675049.9</v>
      </c>
      <c r="O10" s="26">
        <f>L10</f>
        <v>675049.9</v>
      </c>
      <c r="P10" s="26"/>
      <c r="Q10" s="18">
        <f t="shared" si="4"/>
        <v>675049.9</v>
      </c>
      <c r="R10" s="19">
        <f>Q10/E10</f>
        <v>0.97451077073414893</v>
      </c>
      <c r="S10" s="26">
        <v>317185.94650000002</v>
      </c>
      <c r="T10" s="26"/>
      <c r="U10" s="18">
        <f t="shared" si="5"/>
        <v>317185.94650000002</v>
      </c>
      <c r="V10" s="26">
        <v>37005.299749999998</v>
      </c>
      <c r="W10" s="26"/>
      <c r="X10" s="18">
        <f t="shared" si="6"/>
        <v>37005.299749999998</v>
      </c>
      <c r="Y10" s="26">
        <v>675049.9</v>
      </c>
      <c r="Z10" s="26"/>
      <c r="AA10" s="18">
        <f t="shared" si="7"/>
        <v>675049.9</v>
      </c>
      <c r="AB10" s="19">
        <f t="shared" si="8"/>
        <v>0.97451077073414893</v>
      </c>
    </row>
    <row r="11" spans="1:28" x14ac:dyDescent="0.25">
      <c r="A11" s="24" t="s">
        <v>20</v>
      </c>
      <c r="B11" s="25" t="s">
        <v>21</v>
      </c>
      <c r="C11" s="26">
        <v>15967.49015</v>
      </c>
      <c r="D11" s="26"/>
      <c r="E11" s="18">
        <f t="shared" si="0"/>
        <v>15967.49015</v>
      </c>
      <c r="F11" s="26">
        <v>7493.88886</v>
      </c>
      <c r="G11" s="26"/>
      <c r="H11" s="18">
        <f t="shared" si="1"/>
        <v>7493.88886</v>
      </c>
      <c r="I11" s="26">
        <f>8894.4724-F11</f>
        <v>1400.5835400000005</v>
      </c>
      <c r="J11" s="26"/>
      <c r="K11" s="18">
        <f t="shared" si="2"/>
        <v>1400.5835400000005</v>
      </c>
      <c r="L11" s="26">
        <v>14418.9</v>
      </c>
      <c r="M11" s="26"/>
      <c r="N11" s="18">
        <f t="shared" si="3"/>
        <v>14418.9</v>
      </c>
      <c r="O11" s="26">
        <f>L11</f>
        <v>14418.9</v>
      </c>
      <c r="P11" s="26"/>
      <c r="Q11" s="18">
        <f t="shared" si="4"/>
        <v>14418.9</v>
      </c>
      <c r="R11" s="19"/>
      <c r="S11" s="26">
        <v>7679.4384300000002</v>
      </c>
      <c r="T11" s="26"/>
      <c r="U11" s="18">
        <f t="shared" si="5"/>
        <v>7679.4384300000002</v>
      </c>
      <c r="V11" s="26">
        <v>1396.6289999999999</v>
      </c>
      <c r="W11" s="26"/>
      <c r="X11" s="18">
        <f t="shared" si="6"/>
        <v>1396.6289999999999</v>
      </c>
      <c r="Y11" s="26">
        <v>14418.9</v>
      </c>
      <c r="Z11" s="26"/>
      <c r="AA11" s="18">
        <f t="shared" si="7"/>
        <v>14418.9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118522.77938000001</v>
      </c>
      <c r="D12" s="27">
        <f>SUM(D13:D16)</f>
        <v>0</v>
      </c>
      <c r="E12" s="18">
        <f>C12-D12</f>
        <v>118522.77938000001</v>
      </c>
      <c r="F12" s="27">
        <f>SUM(F13:F16)</f>
        <v>60268.261290000002</v>
      </c>
      <c r="G12" s="27">
        <f>SUM(G13:G16)</f>
        <v>0</v>
      </c>
      <c r="H12" s="18">
        <f t="shared" si="1"/>
        <v>60268.261290000002</v>
      </c>
      <c r="I12" s="27">
        <f>SUM(I13:I16)</f>
        <v>13696.120010000001</v>
      </c>
      <c r="J12" s="27">
        <f>SUM(J13:J16)</f>
        <v>0</v>
      </c>
      <c r="K12" s="18">
        <f>I12-J12</f>
        <v>13696.120010000001</v>
      </c>
      <c r="L12" s="27">
        <f>SUM(L13:L16)</f>
        <v>103030.83</v>
      </c>
      <c r="M12" s="27">
        <f>SUM(M13:M16)</f>
        <v>0</v>
      </c>
      <c r="N12" s="18">
        <f t="shared" si="3"/>
        <v>103030.83</v>
      </c>
      <c r="O12" s="27">
        <f>SUM(O13:O16)</f>
        <v>103030.83</v>
      </c>
      <c r="P12" s="27">
        <f>SUM(P13:P16)</f>
        <v>0</v>
      </c>
      <c r="Q12" s="18">
        <f t="shared" si="4"/>
        <v>103030.83</v>
      </c>
      <c r="R12" s="19">
        <f t="shared" si="9"/>
        <v>0.86929137621443442</v>
      </c>
      <c r="S12" s="27">
        <f>SUM(S13:S16)</f>
        <v>92828.999129999997</v>
      </c>
      <c r="T12" s="27">
        <f>SUM(T13:T16)</f>
        <v>0</v>
      </c>
      <c r="U12" s="18">
        <f t="shared" si="5"/>
        <v>92828.999129999997</v>
      </c>
      <c r="V12" s="27">
        <f>SUM(V13:V16)</f>
        <v>205.44544999999999</v>
      </c>
      <c r="W12" s="27">
        <f>SUM(W13:W16)</f>
        <v>0</v>
      </c>
      <c r="X12" s="18">
        <f t="shared" si="6"/>
        <v>205.44544999999999</v>
      </c>
      <c r="Y12" s="27">
        <f>SUM(Y13:Y16)</f>
        <v>103030.83</v>
      </c>
      <c r="Z12" s="27">
        <f>SUM(Z13:Z16)</f>
        <v>0</v>
      </c>
      <c r="AA12" s="18">
        <f t="shared" si="7"/>
        <v>103030.83</v>
      </c>
      <c r="AB12" s="19">
        <f t="shared" si="8"/>
        <v>0.86929137621443442</v>
      </c>
    </row>
    <row r="13" spans="1:28" ht="26.25" x14ac:dyDescent="0.25">
      <c r="A13" s="24"/>
      <c r="B13" s="25" t="s">
        <v>24</v>
      </c>
      <c r="C13" s="26">
        <v>116993.46502</v>
      </c>
      <c r="D13" s="26"/>
      <c r="E13" s="28">
        <f t="shared" si="0"/>
        <v>116993.46502</v>
      </c>
      <c r="F13" s="26">
        <v>59361.74022</v>
      </c>
      <c r="G13" s="26"/>
      <c r="H13" s="28">
        <f t="shared" si="1"/>
        <v>59361.74022</v>
      </c>
      <c r="I13" s="26">
        <f>72998.3226-F13</f>
        <v>13636.58238</v>
      </c>
      <c r="J13" s="26"/>
      <c r="K13" s="18">
        <f>I13-J13</f>
        <v>13636.58238</v>
      </c>
      <c r="L13" s="26">
        <v>101251.2</v>
      </c>
      <c r="M13" s="26"/>
      <c r="N13" s="28">
        <f t="shared" si="3"/>
        <v>101251.2</v>
      </c>
      <c r="O13" s="26">
        <f>L13</f>
        <v>101251.2</v>
      </c>
      <c r="P13" s="26"/>
      <c r="Q13" s="28">
        <f t="shared" si="4"/>
        <v>101251.2</v>
      </c>
      <c r="R13" s="19">
        <f t="shared" si="9"/>
        <v>0.86544321071857411</v>
      </c>
      <c r="S13" s="26">
        <v>92798.211360000001</v>
      </c>
      <c r="T13" s="26"/>
      <c r="U13" s="28">
        <f t="shared" si="5"/>
        <v>92798.211360000001</v>
      </c>
      <c r="V13" s="26">
        <v>0</v>
      </c>
      <c r="W13" s="26"/>
      <c r="X13" s="28">
        <f t="shared" si="6"/>
        <v>0</v>
      </c>
      <c r="Y13" s="26">
        <v>101251.2</v>
      </c>
      <c r="Z13" s="26"/>
      <c r="AA13" s="28">
        <f t="shared" si="7"/>
        <v>101251.2</v>
      </c>
      <c r="AB13" s="19">
        <f t="shared" si="8"/>
        <v>0.86544321071857411</v>
      </c>
    </row>
    <row r="14" spans="1:28" ht="26.25" x14ac:dyDescent="0.25">
      <c r="A14" s="24"/>
      <c r="B14" s="25" t="s">
        <v>25</v>
      </c>
      <c r="C14" s="26">
        <v>13.042920000000001</v>
      </c>
      <c r="D14" s="26"/>
      <c r="E14" s="28">
        <f t="shared" si="0"/>
        <v>13.042920000000001</v>
      </c>
      <c r="F14" s="26">
        <v>78.727310000000003</v>
      </c>
      <c r="G14" s="26"/>
      <c r="H14" s="28">
        <f t="shared" si="1"/>
        <v>78.727310000000003</v>
      </c>
      <c r="I14" s="26">
        <f>60.68013-F14</f>
        <v>-18.047180000000004</v>
      </c>
      <c r="J14" s="26"/>
      <c r="K14" s="18">
        <f>I14-J14</f>
        <v>-18.047180000000004</v>
      </c>
      <c r="L14" s="26">
        <v>60</v>
      </c>
      <c r="M14" s="26"/>
      <c r="N14" s="28">
        <f t="shared" si="3"/>
        <v>60</v>
      </c>
      <c r="O14" s="26">
        <f>L14</f>
        <v>60</v>
      </c>
      <c r="P14" s="26"/>
      <c r="Q14" s="28">
        <f t="shared" si="4"/>
        <v>60</v>
      </c>
      <c r="R14" s="19">
        <f t="shared" si="9"/>
        <v>4.6001968884268241</v>
      </c>
      <c r="S14" s="26">
        <v>-471.55928</v>
      </c>
      <c r="T14" s="26"/>
      <c r="U14" s="28">
        <f t="shared" si="5"/>
        <v>-471.55928</v>
      </c>
      <c r="V14" s="26">
        <v>5</v>
      </c>
      <c r="W14" s="26"/>
      <c r="X14" s="28">
        <f t="shared" si="6"/>
        <v>5</v>
      </c>
      <c r="Y14" s="26">
        <v>60</v>
      </c>
      <c r="Z14" s="26"/>
      <c r="AA14" s="28">
        <f t="shared" si="7"/>
        <v>60</v>
      </c>
      <c r="AB14" s="19">
        <f t="shared" si="8"/>
        <v>4.6001968884268241</v>
      </c>
    </row>
    <row r="15" spans="1:28" x14ac:dyDescent="0.25">
      <c r="A15" s="24"/>
      <c r="B15" s="25" t="s">
        <v>26</v>
      </c>
      <c r="C15" s="26"/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1516.27144</v>
      </c>
      <c r="D16" s="26"/>
      <c r="E16" s="28">
        <f t="shared" si="0"/>
        <v>1516.27144</v>
      </c>
      <c r="F16" s="26">
        <f>827.79376</f>
        <v>827.79376000000002</v>
      </c>
      <c r="G16" s="26"/>
      <c r="H16" s="28">
        <f t="shared" si="1"/>
        <v>827.79376000000002</v>
      </c>
      <c r="I16" s="26">
        <f>905.37857-F16</f>
        <v>77.584809999999948</v>
      </c>
      <c r="J16" s="26"/>
      <c r="K16" s="18">
        <f>I16-J16</f>
        <v>77.584809999999948</v>
      </c>
      <c r="L16" s="26">
        <v>1719.63</v>
      </c>
      <c r="M16" s="26"/>
      <c r="N16" s="28">
        <f t="shared" si="3"/>
        <v>1719.63</v>
      </c>
      <c r="O16" s="26">
        <f>L16</f>
        <v>1719.63</v>
      </c>
      <c r="P16" s="26"/>
      <c r="Q16" s="28">
        <f t="shared" si="4"/>
        <v>1719.63</v>
      </c>
      <c r="R16" s="19">
        <f t="shared" si="9"/>
        <v>1.1341175165839701</v>
      </c>
      <c r="S16" s="26">
        <v>502.34705000000002</v>
      </c>
      <c r="T16" s="26"/>
      <c r="U16" s="28">
        <f t="shared" si="5"/>
        <v>502.34705000000002</v>
      </c>
      <c r="V16" s="26">
        <v>200.44544999999999</v>
      </c>
      <c r="W16" s="26"/>
      <c r="X16" s="28">
        <f t="shared" si="6"/>
        <v>200.44544999999999</v>
      </c>
      <c r="Y16" s="26">
        <v>1719.63</v>
      </c>
      <c r="Z16" s="26"/>
      <c r="AA16" s="28">
        <f t="shared" si="7"/>
        <v>1719.63</v>
      </c>
      <c r="AB16" s="19">
        <f t="shared" si="8"/>
        <v>1.1341175165839701</v>
      </c>
    </row>
    <row r="17" spans="1:28" x14ac:dyDescent="0.25">
      <c r="A17" s="24" t="s">
        <v>28</v>
      </c>
      <c r="B17" s="25" t="s">
        <v>29</v>
      </c>
      <c r="C17" s="26">
        <v>9326.9205399999992</v>
      </c>
      <c r="D17" s="26"/>
      <c r="E17" s="18">
        <f t="shared" si="0"/>
        <v>9326.9205399999992</v>
      </c>
      <c r="F17" s="26">
        <v>865.8895</v>
      </c>
      <c r="G17" s="26"/>
      <c r="H17" s="18">
        <f t="shared" si="1"/>
        <v>865.8895</v>
      </c>
      <c r="I17" s="26">
        <f>1133.79645-F17</f>
        <v>267.90695000000005</v>
      </c>
      <c r="J17" s="26"/>
      <c r="K17" s="18">
        <f t="shared" si="2"/>
        <v>267.90695000000005</v>
      </c>
      <c r="L17" s="26">
        <v>8671.2199999999993</v>
      </c>
      <c r="M17" s="26"/>
      <c r="N17" s="18">
        <f t="shared" si="3"/>
        <v>8671.2199999999993</v>
      </c>
      <c r="O17" s="26">
        <f>L17</f>
        <v>8671.2199999999993</v>
      </c>
      <c r="P17" s="26"/>
      <c r="Q17" s="18">
        <f>O17-P17</f>
        <v>8671.2199999999993</v>
      </c>
      <c r="R17" s="19">
        <f t="shared" si="9"/>
        <v>0.92969806731086402</v>
      </c>
      <c r="S17" s="26">
        <v>1168.16077</v>
      </c>
      <c r="T17" s="26"/>
      <c r="U17" s="18">
        <f t="shared" si="5"/>
        <v>1168.16077</v>
      </c>
      <c r="V17" s="26">
        <v>150</v>
      </c>
      <c r="W17" s="26"/>
      <c r="X17" s="18">
        <f t="shared" si="6"/>
        <v>150</v>
      </c>
      <c r="Y17" s="26">
        <v>8671.2199999999993</v>
      </c>
      <c r="Z17" s="26"/>
      <c r="AA17" s="18">
        <f t="shared" si="7"/>
        <v>8671.2199999999993</v>
      </c>
      <c r="AB17" s="19">
        <f>AA17/E17</f>
        <v>0.92969806731086402</v>
      </c>
    </row>
    <row r="18" spans="1:28" x14ac:dyDescent="0.25">
      <c r="A18" s="24" t="s">
        <v>30</v>
      </c>
      <c r="B18" s="25" t="s">
        <v>31</v>
      </c>
      <c r="C18" s="26">
        <v>5294.6281399999998</v>
      </c>
      <c r="D18" s="26"/>
      <c r="E18" s="18">
        <f t="shared" si="0"/>
        <v>5294.6281399999998</v>
      </c>
      <c r="F18" s="26">
        <f>1642.70171</f>
        <v>1642.70171</v>
      </c>
      <c r="G18" s="26"/>
      <c r="H18" s="18">
        <f t="shared" si="1"/>
        <v>1642.70171</v>
      </c>
      <c r="I18" s="26">
        <f>1889.83243-F18</f>
        <v>247.13071999999988</v>
      </c>
      <c r="J18" s="26"/>
      <c r="K18" s="18">
        <f t="shared" si="2"/>
        <v>247.13071999999988</v>
      </c>
      <c r="L18" s="26">
        <v>2921</v>
      </c>
      <c r="M18" s="26"/>
      <c r="N18" s="18">
        <f t="shared" si="3"/>
        <v>2921</v>
      </c>
      <c r="O18" s="26">
        <f>L18</f>
        <v>2921</v>
      </c>
      <c r="P18" s="26"/>
      <c r="Q18" s="18">
        <f t="shared" si="4"/>
        <v>2921</v>
      </c>
      <c r="R18" s="19">
        <f t="shared" si="9"/>
        <v>0.55169124681908255</v>
      </c>
      <c r="S18" s="26">
        <v>729.20495000000005</v>
      </c>
      <c r="T18" s="26"/>
      <c r="U18" s="18">
        <f t="shared" si="5"/>
        <v>729.20495000000005</v>
      </c>
      <c r="V18" s="26">
        <v>255</v>
      </c>
      <c r="W18" s="26"/>
      <c r="X18" s="18">
        <f t="shared" si="6"/>
        <v>255</v>
      </c>
      <c r="Y18" s="26">
        <v>2921</v>
      </c>
      <c r="Z18" s="26"/>
      <c r="AA18" s="18">
        <f t="shared" si="7"/>
        <v>2921</v>
      </c>
      <c r="AB18" s="19">
        <f t="shared" si="8"/>
        <v>0.55169124681908255</v>
      </c>
    </row>
    <row r="19" spans="1:28" x14ac:dyDescent="0.25">
      <c r="A19" s="24" t="s">
        <v>32</v>
      </c>
      <c r="B19" s="25" t="s">
        <v>33</v>
      </c>
      <c r="C19" s="26">
        <v>9840.3472600000005</v>
      </c>
      <c r="D19" s="26"/>
      <c r="E19" s="18">
        <f t="shared" si="0"/>
        <v>9840.3472600000005</v>
      </c>
      <c r="F19" s="26">
        <f>4333.78929</f>
        <v>4333.7892899999997</v>
      </c>
      <c r="G19" s="26"/>
      <c r="H19" s="18">
        <f t="shared" si="1"/>
        <v>4333.7892899999997</v>
      </c>
      <c r="I19" s="26">
        <f>5007.83267-F19</f>
        <v>674.04338000000007</v>
      </c>
      <c r="J19" s="26"/>
      <c r="K19" s="18">
        <f t="shared" si="2"/>
        <v>674.04338000000007</v>
      </c>
      <c r="L19" s="26">
        <v>7506.7</v>
      </c>
      <c r="M19" s="26"/>
      <c r="N19" s="18">
        <f t="shared" si="3"/>
        <v>7506.7</v>
      </c>
      <c r="O19" s="26">
        <f>L19</f>
        <v>7506.7</v>
      </c>
      <c r="P19" s="26"/>
      <c r="Q19" s="18">
        <f t="shared" ref="Q19" si="10">O19-P19</f>
        <v>7506.7</v>
      </c>
      <c r="R19" s="19">
        <f t="shared" ref="R19" si="11">Q19/E19</f>
        <v>0.76284909481944441</v>
      </c>
      <c r="S19" s="26">
        <v>4199.4693699999998</v>
      </c>
      <c r="T19" s="26"/>
      <c r="U19" s="18">
        <f t="shared" si="5"/>
        <v>4199.4693699999998</v>
      </c>
      <c r="V19" s="26">
        <v>600</v>
      </c>
      <c r="W19" s="26"/>
      <c r="X19" s="18">
        <f t="shared" si="6"/>
        <v>600</v>
      </c>
      <c r="Y19" s="26">
        <v>7506.7</v>
      </c>
      <c r="Z19" s="26"/>
      <c r="AA19" s="18">
        <f t="shared" si="7"/>
        <v>7506.7</v>
      </c>
      <c r="AB19" s="19">
        <f t="shared" si="8"/>
        <v>0.76284909481944441</v>
      </c>
    </row>
    <row r="20" spans="1:28" x14ac:dyDescent="0.25">
      <c r="A20" s="24" t="s">
        <v>34</v>
      </c>
      <c r="B20" s="25" t="s">
        <v>35</v>
      </c>
      <c r="C20" s="26"/>
      <c r="D20" s="26"/>
      <c r="E20" s="18">
        <f t="shared" si="0"/>
        <v>0</v>
      </c>
      <c r="F20" s="26"/>
      <c r="G20" s="26"/>
      <c r="H20" s="18">
        <f t="shared" si="1"/>
        <v>0</v>
      </c>
      <c r="I20" s="26"/>
      <c r="J20" s="26"/>
      <c r="K20" s="18">
        <f t="shared" si="2"/>
        <v>0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 t="e">
        <f t="shared" si="9"/>
        <v>#DIV/0!</v>
      </c>
      <c r="S20" s="26"/>
      <c r="T20" s="26"/>
      <c r="U20" s="18">
        <f t="shared" si="5"/>
        <v>0</v>
      </c>
      <c r="V20" s="26">
        <v>0</v>
      </c>
      <c r="W20" s="26"/>
      <c r="X20" s="18">
        <f t="shared" si="6"/>
        <v>0</v>
      </c>
      <c r="Y20" s="26"/>
      <c r="Z20" s="26"/>
      <c r="AA20" s="18">
        <f t="shared" si="7"/>
        <v>0</v>
      </c>
      <c r="AB20" s="19" t="e">
        <f t="shared" si="8"/>
        <v>#DIV/0!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222783.22482999996</v>
      </c>
      <c r="D21" s="29">
        <f>D23+D24+D25+D26+D27+D28+D29+D30+D31+D32+D33+D36</f>
        <v>1873.90669</v>
      </c>
      <c r="E21" s="30">
        <f>C21-D21</f>
        <v>220909.31813999996</v>
      </c>
      <c r="F21" s="29">
        <f>F23+F24+F25+F26+F27+F28+F29+F30+F31+F32+F33+F36</f>
        <v>111632.96804000001</v>
      </c>
      <c r="G21" s="29">
        <f>G23+G24+G25+G26+G27+G28+G29+G30+G31+G32+G33+G36</f>
        <v>625.02601000000004</v>
      </c>
      <c r="H21" s="30">
        <f t="shared" si="1"/>
        <v>111007.94203000001</v>
      </c>
      <c r="I21" s="29">
        <f>I23+I24+I25+I26+I27+I28+I29+I30+I31+I32+I33+I36</f>
        <v>12898.425000000001</v>
      </c>
      <c r="J21" s="29">
        <f>J23+J24+J25+J26+J27+J28+J29+J30+J31+J32+J33+J36</f>
        <v>90</v>
      </c>
      <c r="K21" s="30">
        <f>I21-J21</f>
        <v>12808.425000000001</v>
      </c>
      <c r="L21" s="29">
        <f>L23+L24+L25+L26+L27+L28+L29+L30+L31+L32+L33+L36</f>
        <v>171559.23899999997</v>
      </c>
      <c r="M21" s="29">
        <f>M23+M24+M25+M26+M27+M28+M29+M30+M31+M32+M33+M36</f>
        <v>0</v>
      </c>
      <c r="N21" s="30">
        <f t="shared" si="3"/>
        <v>171559.23899999997</v>
      </c>
      <c r="O21" s="29">
        <f>O23+O24+O25+O26+O27+O28+O29+O30+O31+O32+O33+O36</f>
        <v>171794.23899999997</v>
      </c>
      <c r="P21" s="29">
        <f>P23+P24+P25+P26+P27+P28+P29+P30+P31+P32+P33+P36</f>
        <v>235</v>
      </c>
      <c r="Q21" s="30">
        <f t="shared" si="4"/>
        <v>171559.23899999997</v>
      </c>
      <c r="R21" s="31">
        <f t="shared" si="9"/>
        <v>0.77660480981284519</v>
      </c>
      <c r="S21" s="29">
        <f>S23+S24+S25+S26+S27+S28+S29+S30+S31+S32+S33+S36</f>
        <v>99646.568429999999</v>
      </c>
      <c r="T21" s="29">
        <f>T23+T24+T25+T26+T27+T28+T29+T30+T31+T32+T33+T36</f>
        <v>489.52810999999997</v>
      </c>
      <c r="U21" s="30">
        <f t="shared" si="5"/>
        <v>99157.04032</v>
      </c>
      <c r="V21" s="29">
        <f>V23+V24+V25+V26+V27+V28+V29+V30+V31+V32+V33+V36</f>
        <v>1759.3443299999999</v>
      </c>
      <c r="W21" s="29">
        <f>W23+W24+W25+W26+W27+W28+W29+W30+W31+W32+W33+W36</f>
        <v>0</v>
      </c>
      <c r="X21" s="30">
        <f t="shared" si="6"/>
        <v>1759.3443299999999</v>
      </c>
      <c r="Y21" s="29">
        <f>Y23+Y24+Y25+Y26+Y27+Y28+Y29+Y30+Y31+Y32+Y33+Y36</f>
        <v>175828.80973000001</v>
      </c>
      <c r="Z21" s="29">
        <f>Z23+Z24+Z25+Z26+Z27+Z28+Z29+Z30+Z31+Z32+Z33+Z36</f>
        <v>489.52810999999997</v>
      </c>
      <c r="AA21" s="30">
        <f t="shared" si="7"/>
        <v>175339.28161999999</v>
      </c>
      <c r="AB21" s="31">
        <f t="shared" si="8"/>
        <v>0.79371609625303252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>
        <v>0</v>
      </c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>
        <v>0</v>
      </c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132647.40789+2435.48313</f>
        <v>135082.89102000001</v>
      </c>
      <c r="D25" s="26"/>
      <c r="E25" s="18">
        <f t="shared" ref="E25:E28" si="12">C25-D25</f>
        <v>135082.89102000001</v>
      </c>
      <c r="F25" s="26">
        <f>64061.9789+1186.30386</f>
        <v>65248.282760000002</v>
      </c>
      <c r="G25" s="26"/>
      <c r="H25" s="18">
        <f t="shared" si="1"/>
        <v>65248.282760000002</v>
      </c>
      <c r="I25" s="26">
        <f>64995.51766+1213.8904-F25</f>
        <v>961.1252999999997</v>
      </c>
      <c r="J25" s="26"/>
      <c r="K25" s="18">
        <f t="shared" si="2"/>
        <v>961.1252999999997</v>
      </c>
      <c r="L25" s="26">
        <f>134272.8+2347.6</f>
        <v>136620.4</v>
      </c>
      <c r="M25" s="26"/>
      <c r="N25" s="18">
        <f t="shared" si="3"/>
        <v>136620.4</v>
      </c>
      <c r="O25" s="26">
        <f>L25</f>
        <v>136620.4</v>
      </c>
      <c r="P25" s="26"/>
      <c r="Q25" s="18">
        <f t="shared" si="4"/>
        <v>136620.4</v>
      </c>
      <c r="R25" s="19"/>
      <c r="S25" s="26">
        <f>66966.06459+756.43102</f>
        <v>67722.495609999998</v>
      </c>
      <c r="T25" s="26"/>
      <c r="U25" s="18">
        <f t="shared" si="5"/>
        <v>67722.495609999998</v>
      </c>
      <c r="V25" s="26">
        <v>1130</v>
      </c>
      <c r="W25" s="26"/>
      <c r="X25" s="18">
        <f t="shared" si="6"/>
        <v>1130</v>
      </c>
      <c r="Y25" s="26">
        <f>134272.8+2347.6</f>
        <v>136620.4</v>
      </c>
      <c r="Z25" s="26"/>
      <c r="AA25" s="18">
        <f t="shared" si="7"/>
        <v>136620.4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 t="shared" si="12"/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26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20928.60407</f>
        <v>20928.604070000001</v>
      </c>
      <c r="D27" s="26"/>
      <c r="E27" s="18">
        <f t="shared" si="12"/>
        <v>20928.604070000001</v>
      </c>
      <c r="F27" s="26">
        <v>9136.9503299999997</v>
      </c>
      <c r="G27" s="26"/>
      <c r="H27" s="18">
        <f t="shared" si="1"/>
        <v>9136.9503299999997</v>
      </c>
      <c r="I27" s="26">
        <f>10805.24782-F27</f>
        <v>1668.2974900000008</v>
      </c>
      <c r="J27" s="26"/>
      <c r="K27" s="18">
        <f t="shared" si="2"/>
        <v>1668.2974900000008</v>
      </c>
      <c r="L27" s="26">
        <v>16794.8</v>
      </c>
      <c r="M27" s="26"/>
      <c r="N27" s="18">
        <f t="shared" si="3"/>
        <v>16794.8</v>
      </c>
      <c r="O27" s="26">
        <f>L27</f>
        <v>16794.8</v>
      </c>
      <c r="P27" s="26"/>
      <c r="Q27" s="18">
        <f t="shared" si="4"/>
        <v>16794.8</v>
      </c>
      <c r="R27" s="19"/>
      <c r="S27" s="26">
        <v>11481.121999999999</v>
      </c>
      <c r="T27" s="26"/>
      <c r="U27" s="18">
        <f t="shared" si="5"/>
        <v>11481.121999999999</v>
      </c>
      <c r="V27" s="26">
        <v>229.34433000000001</v>
      </c>
      <c r="W27" s="26"/>
      <c r="X27" s="18">
        <f t="shared" si="6"/>
        <v>229.34433000000001</v>
      </c>
      <c r="Y27" s="26">
        <f>16794.8</f>
        <v>16794.8</v>
      </c>
      <c r="Z27" s="26"/>
      <c r="AA27" s="18">
        <f t="shared" si="7"/>
        <v>16794.8</v>
      </c>
      <c r="AB27" s="19"/>
    </row>
    <row r="28" spans="1:28" ht="38.25" x14ac:dyDescent="0.25">
      <c r="A28" s="24" t="s">
        <v>32</v>
      </c>
      <c r="B28" s="32" t="s">
        <v>43</v>
      </c>
      <c r="C28" s="26"/>
      <c r="D28" s="26"/>
      <c r="E28" s="18">
        <f t="shared" si="12"/>
        <v>0</v>
      </c>
      <c r="F28" s="26"/>
      <c r="G28" s="26"/>
      <c r="H28" s="18">
        <f t="shared" si="1"/>
        <v>0</v>
      </c>
      <c r="I28" s="26"/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>
        <v>60.769300000000001</v>
      </c>
      <c r="T28" s="26"/>
      <c r="U28" s="18">
        <f t="shared" si="5"/>
        <v>60.769300000000001</v>
      </c>
      <c r="V28" s="26"/>
      <c r="W28" s="26"/>
      <c r="X28" s="18">
        <f t="shared" si="6"/>
        <v>0</v>
      </c>
      <c r="Y28" s="26"/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1</v>
      </c>
      <c r="D29" s="26"/>
      <c r="E29" s="18">
        <f t="shared" si="0"/>
        <v>1</v>
      </c>
      <c r="F29" s="26">
        <v>0</v>
      </c>
      <c r="G29" s="26"/>
      <c r="H29" s="18">
        <f t="shared" si="1"/>
        <v>0</v>
      </c>
      <c r="I29" s="26"/>
      <c r="J29" s="26"/>
      <c r="K29" s="18">
        <f t="shared" si="2"/>
        <v>0</v>
      </c>
      <c r="L29" s="26">
        <v>1</v>
      </c>
      <c r="M29" s="26"/>
      <c r="N29" s="18">
        <f t="shared" si="3"/>
        <v>1</v>
      </c>
      <c r="O29" s="26">
        <f>L29</f>
        <v>1</v>
      </c>
      <c r="P29" s="26"/>
      <c r="Q29" s="18">
        <f t="shared" si="4"/>
        <v>1</v>
      </c>
      <c r="R29" s="19">
        <f t="shared" si="9"/>
        <v>1</v>
      </c>
      <c r="S29" s="26">
        <v>0</v>
      </c>
      <c r="T29" s="26"/>
      <c r="U29" s="18">
        <f t="shared" si="5"/>
        <v>0</v>
      </c>
      <c r="V29" s="26"/>
      <c r="W29" s="26"/>
      <c r="X29" s="18">
        <f t="shared" si="6"/>
        <v>0</v>
      </c>
      <c r="Y29" s="26">
        <v>1</v>
      </c>
      <c r="Z29" s="26"/>
      <c r="AA29" s="18">
        <f t="shared" si="7"/>
        <v>1</v>
      </c>
      <c r="AB29" s="19">
        <f t="shared" si="8"/>
        <v>1</v>
      </c>
    </row>
    <row r="30" spans="1:28" ht="25.5" x14ac:dyDescent="0.25">
      <c r="A30" s="24" t="s">
        <v>45</v>
      </c>
      <c r="B30" s="32" t="s">
        <v>46</v>
      </c>
      <c r="C30" s="26">
        <v>36337.310689999998</v>
      </c>
      <c r="D30" s="26"/>
      <c r="E30" s="18">
        <f t="shared" si="0"/>
        <v>36337.310689999998</v>
      </c>
      <c r="F30" s="26">
        <f>25366.21384</f>
        <v>25366.21384</v>
      </c>
      <c r="G30" s="26"/>
      <c r="H30" s="18">
        <f t="shared" si="1"/>
        <v>25366.21384</v>
      </c>
      <c r="I30" s="26">
        <f>29957.87418-F30</f>
        <v>4591.6603399999985</v>
      </c>
      <c r="J30" s="26"/>
      <c r="K30" s="18">
        <f t="shared" si="2"/>
        <v>4591.6603399999985</v>
      </c>
      <c r="L30" s="26">
        <v>9500</v>
      </c>
      <c r="M30" s="26"/>
      <c r="N30" s="18">
        <f t="shared" si="3"/>
        <v>9500</v>
      </c>
      <c r="O30" s="26">
        <f>L30</f>
        <v>9500</v>
      </c>
      <c r="P30" s="26"/>
      <c r="Q30" s="18">
        <f t="shared" si="4"/>
        <v>9500</v>
      </c>
      <c r="R30" s="19">
        <f t="shared" si="9"/>
        <v>0.26143927053507549</v>
      </c>
      <c r="S30" s="26">
        <v>11659.29039</v>
      </c>
      <c r="T30" s="26"/>
      <c r="U30" s="18">
        <f t="shared" si="5"/>
        <v>11659.29039</v>
      </c>
      <c r="V30" s="26">
        <v>0</v>
      </c>
      <c r="W30" s="26"/>
      <c r="X30" s="18">
        <f t="shared" si="6"/>
        <v>0</v>
      </c>
      <c r="Y30" s="26">
        <v>11659.29039</v>
      </c>
      <c r="Z30" s="26"/>
      <c r="AA30" s="18">
        <f t="shared" si="7"/>
        <v>11659.29039</v>
      </c>
      <c r="AB30" s="19">
        <f t="shared" si="8"/>
        <v>0.32086277626507537</v>
      </c>
    </row>
    <row r="31" spans="1:28" ht="25.5" x14ac:dyDescent="0.25">
      <c r="A31" s="24" t="s">
        <v>47</v>
      </c>
      <c r="B31" s="32" t="s">
        <v>48</v>
      </c>
      <c r="C31" s="26">
        <f>572.23803+1635.65427+7510.63278+1283.13422</f>
        <v>11001.659299999999</v>
      </c>
      <c r="D31" s="26">
        <v>1274.1709000000001</v>
      </c>
      <c r="E31" s="18">
        <f t="shared" si="0"/>
        <v>9727.4883999999984</v>
      </c>
      <c r="F31" s="26">
        <f>6017.63013</f>
        <v>6017.6301299999996</v>
      </c>
      <c r="G31" s="26">
        <f>286.57601</f>
        <v>286.57601</v>
      </c>
      <c r="H31" s="18">
        <f t="shared" si="1"/>
        <v>5731.0541199999998</v>
      </c>
      <c r="I31" s="26">
        <f>7500.2453-F31</f>
        <v>1482.61517</v>
      </c>
      <c r="J31" s="26">
        <f>286.57601-G31</f>
        <v>0</v>
      </c>
      <c r="K31" s="18">
        <f t="shared" si="2"/>
        <v>1482.61517</v>
      </c>
      <c r="L31" s="26">
        <v>2114.4</v>
      </c>
      <c r="M31" s="26"/>
      <c r="N31" s="18">
        <f t="shared" si="3"/>
        <v>2114.4</v>
      </c>
      <c r="O31" s="26">
        <f>L31</f>
        <v>2114.4</v>
      </c>
      <c r="P31" s="26"/>
      <c r="Q31" s="18">
        <f t="shared" si="4"/>
        <v>2114.4</v>
      </c>
      <c r="R31" s="19">
        <f t="shared" si="9"/>
        <v>0.21736340492577719</v>
      </c>
      <c r="S31" s="26">
        <f>185.15326+76.62592+2448.63876</f>
        <v>2710.4179399999998</v>
      </c>
      <c r="T31" s="26">
        <v>149.91911999999999</v>
      </c>
      <c r="U31" s="18">
        <f t="shared" si="5"/>
        <v>2560.4988199999998</v>
      </c>
      <c r="V31" s="26"/>
      <c r="W31" s="26"/>
      <c r="X31" s="18">
        <f t="shared" si="6"/>
        <v>0</v>
      </c>
      <c r="Y31" s="26">
        <v>2710.4179399999998</v>
      </c>
      <c r="Z31" s="26">
        <f>T31</f>
        <v>149.91911999999999</v>
      </c>
      <c r="AA31" s="18">
        <f t="shared" si="7"/>
        <v>2560.4988199999998</v>
      </c>
      <c r="AB31" s="19">
        <f t="shared" si="8"/>
        <v>0.2632230144833686</v>
      </c>
    </row>
    <row r="32" spans="1:28" ht="25.5" x14ac:dyDescent="0.25">
      <c r="A32" s="24" t="s">
        <v>49</v>
      </c>
      <c r="B32" s="32" t="s">
        <v>50</v>
      </c>
      <c r="C32" s="26">
        <v>14967.880380000001</v>
      </c>
      <c r="D32" s="26"/>
      <c r="E32" s="18">
        <f t="shared" si="0"/>
        <v>14967.880380000001</v>
      </c>
      <c r="F32" s="26">
        <f>5772.83534</f>
        <v>5772.8353399999996</v>
      </c>
      <c r="G32" s="26"/>
      <c r="H32" s="18">
        <f t="shared" si="1"/>
        <v>5772.8353399999996</v>
      </c>
      <c r="I32" s="26">
        <f>8117.15614-F32</f>
        <v>2344.3208000000004</v>
      </c>
      <c r="J32" s="26"/>
      <c r="K32" s="18">
        <f t="shared" si="2"/>
        <v>2344.3208000000004</v>
      </c>
      <c r="L32" s="26">
        <v>6002.1</v>
      </c>
      <c r="M32" s="26"/>
      <c r="N32" s="18">
        <f t="shared" si="3"/>
        <v>6002.1</v>
      </c>
      <c r="O32" s="26">
        <f>L32</f>
        <v>6002.1</v>
      </c>
      <c r="P32" s="26"/>
      <c r="Q32" s="18">
        <f t="shared" si="4"/>
        <v>6002.1</v>
      </c>
      <c r="R32" s="19">
        <f t="shared" si="9"/>
        <v>0.40099866164216369</v>
      </c>
      <c r="S32" s="26">
        <f>3920.24959</f>
        <v>3920.2495899999999</v>
      </c>
      <c r="T32" s="26"/>
      <c r="U32" s="18">
        <f t="shared" si="5"/>
        <v>3920.2495899999999</v>
      </c>
      <c r="V32" s="26">
        <v>400</v>
      </c>
      <c r="W32" s="26"/>
      <c r="X32" s="18">
        <f t="shared" si="6"/>
        <v>400</v>
      </c>
      <c r="Y32" s="26">
        <v>6002.1</v>
      </c>
      <c r="Z32" s="26"/>
      <c r="AA32" s="18">
        <f t="shared" si="7"/>
        <v>6002.1</v>
      </c>
      <c r="AB32" s="19">
        <f t="shared" si="8"/>
        <v>0.40099866164216369</v>
      </c>
    </row>
    <row r="33" spans="1:28" x14ac:dyDescent="0.25">
      <c r="A33" s="24" t="s">
        <v>51</v>
      </c>
      <c r="B33" s="32" t="s">
        <v>52</v>
      </c>
      <c r="C33" s="26">
        <f>2879.70991+963.49249+860.29155+30+3.05673</f>
        <v>4736.5506800000003</v>
      </c>
      <c r="D33" s="26">
        <v>35.735790000000001</v>
      </c>
      <c r="E33" s="18">
        <f t="shared" si="0"/>
        <v>4700.8148900000006</v>
      </c>
      <c r="F33" s="26">
        <f>569.60682</f>
        <v>569.60681999999997</v>
      </c>
      <c r="G33" s="26"/>
      <c r="H33" s="18">
        <f t="shared" si="1"/>
        <v>569.60681999999997</v>
      </c>
      <c r="I33" s="26">
        <f>2396.94858-F33</f>
        <v>1827.3417600000002</v>
      </c>
      <c r="J33" s="26"/>
      <c r="K33" s="18">
        <f t="shared" si="2"/>
        <v>1827.3417600000002</v>
      </c>
      <c r="L33" s="26">
        <v>526.53899999999999</v>
      </c>
      <c r="M33" s="26"/>
      <c r="N33" s="18">
        <f t="shared" si="3"/>
        <v>526.53899999999999</v>
      </c>
      <c r="O33" s="26">
        <f>L33</f>
        <v>526.53899999999999</v>
      </c>
      <c r="P33" s="26"/>
      <c r="Q33" s="18">
        <f t="shared" si="4"/>
        <v>526.53899999999999</v>
      </c>
      <c r="R33" s="19">
        <f t="shared" si="9"/>
        <v>0.11201015405224772</v>
      </c>
      <c r="S33" s="26">
        <f>244.46232+1547.93938+11.69+1.7097</f>
        <v>1805.8014000000003</v>
      </c>
      <c r="T33" s="26">
        <v>104.60899000000001</v>
      </c>
      <c r="U33" s="18">
        <f t="shared" si="5"/>
        <v>1701.1924100000003</v>
      </c>
      <c r="V33" s="26"/>
      <c r="W33" s="26"/>
      <c r="X33" s="18">
        <f t="shared" si="6"/>
        <v>0</v>
      </c>
      <c r="Y33" s="26">
        <v>1805.8014000000001</v>
      </c>
      <c r="Z33" s="26">
        <f>T33</f>
        <v>104.60899000000001</v>
      </c>
      <c r="AA33" s="18">
        <f t="shared" si="7"/>
        <v>1701.1924100000001</v>
      </c>
      <c r="AB33" s="19">
        <f t="shared" si="8"/>
        <v>0.36189308658354763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35"/>
      <c r="P34" s="35"/>
      <c r="Q34" s="36"/>
      <c r="R34" s="37"/>
      <c r="S34" s="35"/>
      <c r="T34" s="35"/>
      <c r="U34" s="36"/>
      <c r="V34" s="35"/>
      <c r="W34" s="35"/>
      <c r="X34" s="36"/>
      <c r="Y34" s="35"/>
      <c r="Z34" s="35"/>
      <c r="AA34" s="36"/>
      <c r="AB34" s="37"/>
    </row>
    <row r="35" spans="1:28" ht="38.25" x14ac:dyDescent="0.25">
      <c r="A35" s="24"/>
      <c r="B35" s="32" t="s">
        <v>53</v>
      </c>
      <c r="C35" s="26"/>
      <c r="D35" s="26"/>
      <c r="E35" s="18">
        <f t="shared" ref="E35" si="13">C35-D35</f>
        <v>0</v>
      </c>
      <c r="F35" s="26"/>
      <c r="G35" s="26"/>
      <c r="H35" s="18">
        <f t="shared" ref="H35" si="14">F35-G35</f>
        <v>0</v>
      </c>
      <c r="I35" s="26"/>
      <c r="J35" s="26"/>
      <c r="K35" s="18">
        <f t="shared" ref="K35" si="15">I35-J35</f>
        <v>0</v>
      </c>
      <c r="L35" s="26"/>
      <c r="M35" s="26"/>
      <c r="N35" s="18">
        <f t="shared" ref="N35" si="16">L35-M35</f>
        <v>0</v>
      </c>
      <c r="O35" s="26"/>
      <c r="P35" s="26"/>
      <c r="Q35" s="18">
        <f t="shared" ref="Q35" si="17">O35-P35</f>
        <v>0</v>
      </c>
      <c r="R35" s="19" t="e">
        <f t="shared" ref="R35" si="18">Q35/E35</f>
        <v>#DIV/0!</v>
      </c>
      <c r="S35" s="26"/>
      <c r="T35" s="26"/>
      <c r="U35" s="18">
        <f t="shared" ref="U35" si="19">S35-T35</f>
        <v>0</v>
      </c>
      <c r="V35" s="26"/>
      <c r="W35" s="26"/>
      <c r="X35" s="18">
        <f t="shared" ref="X35" si="20">V35-W35</f>
        <v>0</v>
      </c>
      <c r="Y35" s="26"/>
      <c r="Z35" s="26"/>
      <c r="AA35" s="18">
        <f t="shared" ref="AA35" si="21">Y35-Z35</f>
        <v>0</v>
      </c>
      <c r="AB35" s="19" t="e">
        <f t="shared" ref="AB35" si="22">AA35/E35</f>
        <v>#DIV/0!</v>
      </c>
    </row>
    <row r="36" spans="1:28" x14ac:dyDescent="0.25">
      <c r="A36" s="24" t="s">
        <v>54</v>
      </c>
      <c r="B36" s="25" t="s">
        <v>55</v>
      </c>
      <c r="C36" s="26">
        <f>-319.93704+47.26573</f>
        <v>-272.67131000000001</v>
      </c>
      <c r="D36" s="26">
        <v>564</v>
      </c>
      <c r="E36" s="18">
        <f t="shared" si="0"/>
        <v>-836.67130999999995</v>
      </c>
      <c r="F36" s="26">
        <f>-478.55118</f>
        <v>-478.55117999999999</v>
      </c>
      <c r="G36" s="26">
        <f>338.45</f>
        <v>338.45</v>
      </c>
      <c r="H36" s="18">
        <f t="shared" si="1"/>
        <v>-817.00117999999998</v>
      </c>
      <c r="I36" s="26">
        <f>-455.48704-F36</f>
        <v>23.064140000000009</v>
      </c>
      <c r="J36" s="26">
        <f>428.45-G36</f>
        <v>90</v>
      </c>
      <c r="K36" s="18">
        <f t="shared" si="2"/>
        <v>-66.935859999999991</v>
      </c>
      <c r="L36" s="26"/>
      <c r="M36" s="26"/>
      <c r="N36" s="18">
        <f t="shared" si="3"/>
        <v>0</v>
      </c>
      <c r="O36" s="26">
        <v>235</v>
      </c>
      <c r="P36" s="26">
        <f>O36</f>
        <v>235</v>
      </c>
      <c r="Q36" s="18">
        <f t="shared" si="4"/>
        <v>0</v>
      </c>
      <c r="R36" s="19">
        <f t="shared" si="9"/>
        <v>0</v>
      </c>
      <c r="S36" s="26">
        <f>235+51.4222</f>
        <v>286.42219999999998</v>
      </c>
      <c r="T36" s="26">
        <v>235</v>
      </c>
      <c r="U36" s="18">
        <f t="shared" si="5"/>
        <v>51.422199999999975</v>
      </c>
      <c r="V36" s="26"/>
      <c r="W36" s="26"/>
      <c r="X36" s="18">
        <f t="shared" si="6"/>
        <v>0</v>
      </c>
      <c r="Y36" s="26">
        <v>235</v>
      </c>
      <c r="Z36" s="26">
        <v>235</v>
      </c>
      <c r="AA36" s="18">
        <f t="shared" si="7"/>
        <v>0</v>
      </c>
      <c r="AB36" s="19">
        <f t="shared" si="8"/>
        <v>0</v>
      </c>
    </row>
    <row r="37" spans="1:28" x14ac:dyDescent="0.25">
      <c r="A37" s="38" t="s">
        <v>56</v>
      </c>
      <c r="B37" s="16" t="s">
        <v>57</v>
      </c>
      <c r="C37" s="17">
        <f>C38+C47+C49+C48</f>
        <v>2298663.7610499999</v>
      </c>
      <c r="D37" s="17">
        <f>D38+D47+D49+D48</f>
        <v>1952682.7277000002</v>
      </c>
      <c r="E37" s="30">
        <f t="shared" si="0"/>
        <v>345981.03334999969</v>
      </c>
      <c r="F37" s="17">
        <f>F38+F47+F49+F48</f>
        <v>669085.84187</v>
      </c>
      <c r="G37" s="17">
        <f>G38+G47+G49+G48</f>
        <v>592731.81102000002</v>
      </c>
      <c r="H37" s="30">
        <f t="shared" si="1"/>
        <v>76354.030849999981</v>
      </c>
      <c r="I37" s="17">
        <f>I38+I47+I49+I48</f>
        <v>196563.50239000001</v>
      </c>
      <c r="J37" s="17">
        <f>J38+J47+J49+J48</f>
        <v>196563.50239000001</v>
      </c>
      <c r="K37" s="30">
        <f t="shared" si="2"/>
        <v>0</v>
      </c>
      <c r="L37" s="17">
        <f>L38+L47+L49+L48</f>
        <v>2065702.7926400001</v>
      </c>
      <c r="M37" s="17">
        <f>M38+M47+M49+M48</f>
        <v>1741913.41864</v>
      </c>
      <c r="N37" s="30">
        <f t="shared" si="3"/>
        <v>323789.37400000007</v>
      </c>
      <c r="O37" s="17">
        <f>O38+O47+O49+O48</f>
        <v>2390471.4044999997</v>
      </c>
      <c r="P37" s="17">
        <f>P38+P47+P49+P48</f>
        <v>2065438.1305</v>
      </c>
      <c r="Q37" s="30">
        <f t="shared" si="4"/>
        <v>325033.27399999974</v>
      </c>
      <c r="R37" s="31">
        <f t="shared" si="9"/>
        <v>0.93945402397590716</v>
      </c>
      <c r="S37" s="17">
        <f>S38+S47+S49+S48</f>
        <v>889668.97376000008</v>
      </c>
      <c r="T37" s="17">
        <f>T38+T47+T49+T48</f>
        <v>742716.10204000003</v>
      </c>
      <c r="U37" s="30">
        <f t="shared" si="5"/>
        <v>146952.87172000005</v>
      </c>
      <c r="V37" s="17">
        <f>V38+V47+V49+V48</f>
        <v>204369.9</v>
      </c>
      <c r="W37" s="17">
        <f>W38+W47+W49+W48</f>
        <v>204369.9</v>
      </c>
      <c r="X37" s="30">
        <f t="shared" si="6"/>
        <v>0</v>
      </c>
      <c r="Y37" s="17">
        <f>Y38+Y47+Y49+Y48</f>
        <v>2012679.5404699999</v>
      </c>
      <c r="Z37" s="17">
        <f>Z38+Z47+Z49+Z48</f>
        <v>1687642.51305</v>
      </c>
      <c r="AA37" s="30">
        <f t="shared" si="7"/>
        <v>325037.02741999994</v>
      </c>
      <c r="AB37" s="31">
        <f t="shared" si="8"/>
        <v>0.93946487260527811</v>
      </c>
    </row>
    <row r="38" spans="1:28" ht="26.25" x14ac:dyDescent="0.25">
      <c r="A38" s="24" t="s">
        <v>58</v>
      </c>
      <c r="B38" s="25" t="s">
        <v>59</v>
      </c>
      <c r="C38" s="39">
        <f>C39+C43+C45+C46</f>
        <v>2294910.2725399998</v>
      </c>
      <c r="D38" s="39">
        <f>D39+D43+D45+D46</f>
        <v>1951104.6665400001</v>
      </c>
      <c r="E38" s="18">
        <f t="shared" si="0"/>
        <v>343805.60599999968</v>
      </c>
      <c r="F38" s="39">
        <f>F39+F43+F45+F46</f>
        <v>665388.61412000004</v>
      </c>
      <c r="G38" s="39">
        <f>G39+G43+G45+G46</f>
        <v>589710.01062000007</v>
      </c>
      <c r="H38" s="18">
        <f t="shared" si="1"/>
        <v>75678.603499999968</v>
      </c>
      <c r="I38" s="39">
        <f>I39+I43+I45+I46</f>
        <v>196805.18539</v>
      </c>
      <c r="J38" s="39">
        <f>J39+J43+J45+J46</f>
        <v>196805.18539</v>
      </c>
      <c r="K38" s="18">
        <f t="shared" si="2"/>
        <v>0</v>
      </c>
      <c r="L38" s="39">
        <f>L39+L43+L45+L46</f>
        <v>2065702.7926400001</v>
      </c>
      <c r="M38" s="39">
        <f>M39+M43+M45+M46</f>
        <v>1741913.41864</v>
      </c>
      <c r="N38" s="18">
        <f t="shared" si="3"/>
        <v>323789.37400000007</v>
      </c>
      <c r="O38" s="39">
        <f>O39+O43+O45+O46</f>
        <v>2389227.5044999998</v>
      </c>
      <c r="P38" s="39">
        <f>P39+P43+P45+P46</f>
        <v>2065438.1305</v>
      </c>
      <c r="Q38" s="18">
        <f t="shared" si="4"/>
        <v>323789.37399999984</v>
      </c>
      <c r="R38" s="19">
        <f t="shared" si="9"/>
        <v>0.94178037922976787</v>
      </c>
      <c r="S38" s="39">
        <f>S39+S43+S45+S46</f>
        <v>888901.81320000009</v>
      </c>
      <c r="T38" s="39">
        <f>T39+T43+T45+T46</f>
        <v>743196.59490000003</v>
      </c>
      <c r="U38" s="18">
        <f t="shared" si="5"/>
        <v>145705.21830000007</v>
      </c>
      <c r="V38" s="39">
        <f>V39+V43+V45+V46</f>
        <v>204369.9</v>
      </c>
      <c r="W38" s="39">
        <f>W39+W43+W45+W46</f>
        <v>204369.9</v>
      </c>
      <c r="X38" s="18">
        <f t="shared" si="6"/>
        <v>0</v>
      </c>
      <c r="Y38" s="39">
        <f>Y39+Y43+Y45+Y46</f>
        <v>2011912.3799099999</v>
      </c>
      <c r="Z38" s="39">
        <f>Z39+Z43+Z45+Z46</f>
        <v>1688123.0059100001</v>
      </c>
      <c r="AA38" s="18">
        <f t="shared" si="7"/>
        <v>323789.37399999984</v>
      </c>
      <c r="AB38" s="19">
        <f t="shared" si="8"/>
        <v>0.94178037922976787</v>
      </c>
    </row>
    <row r="39" spans="1:28" x14ac:dyDescent="0.25">
      <c r="A39" s="24" t="s">
        <v>18</v>
      </c>
      <c r="B39" s="25" t="s">
        <v>60</v>
      </c>
      <c r="C39" s="26">
        <f>C40+C41+C42</f>
        <v>343805.60599999997</v>
      </c>
      <c r="D39" s="40"/>
      <c r="E39" s="18">
        <f>C39-D39</f>
        <v>343805.60599999997</v>
      </c>
      <c r="F39" s="26">
        <f>F40+F41+F42</f>
        <v>75678.603499999997</v>
      </c>
      <c r="G39" s="40"/>
      <c r="H39" s="18">
        <f>F39-G39</f>
        <v>75678.603499999997</v>
      </c>
      <c r="I39" s="26">
        <f>I40+I41+I42</f>
        <v>0</v>
      </c>
      <c r="J39" s="40"/>
      <c r="K39" s="18">
        <f>I39-J39</f>
        <v>0</v>
      </c>
      <c r="L39" s="26">
        <f>L40+L41+L42</f>
        <v>323789.37400000001</v>
      </c>
      <c r="M39" s="40"/>
      <c r="N39" s="18">
        <f>L39-M39</f>
        <v>323789.37400000001</v>
      </c>
      <c r="O39" s="26">
        <f>O40+O41+O42</f>
        <v>323789.37400000001</v>
      </c>
      <c r="P39" s="40"/>
      <c r="Q39" s="18">
        <f>O39-P39</f>
        <v>323789.37400000001</v>
      </c>
      <c r="R39" s="19">
        <f t="shared" si="9"/>
        <v>0.94178037922976754</v>
      </c>
      <c r="S39" s="26">
        <f>S40+S41+S42</f>
        <v>145705.21830000001</v>
      </c>
      <c r="T39" s="40"/>
      <c r="U39" s="18">
        <f>S39-T39</f>
        <v>145705.21830000001</v>
      </c>
      <c r="V39" s="26">
        <f>V40+V41+V42</f>
        <v>0</v>
      </c>
      <c r="W39" s="40"/>
      <c r="X39" s="18">
        <f>V39-W39</f>
        <v>0</v>
      </c>
      <c r="Y39" s="26">
        <f>Y40+Y41+Y42</f>
        <v>323789.37400000001</v>
      </c>
      <c r="Z39" s="40"/>
      <c r="AA39" s="18">
        <f>Y39-Z39</f>
        <v>323789.37400000001</v>
      </c>
      <c r="AB39" s="19">
        <f t="shared" si="8"/>
        <v>0.94178037922976754</v>
      </c>
    </row>
    <row r="40" spans="1:28" x14ac:dyDescent="0.25">
      <c r="A40" s="24"/>
      <c r="B40" s="25" t="s">
        <v>61</v>
      </c>
      <c r="C40" s="26">
        <v>250993.54699999999</v>
      </c>
      <c r="D40" s="40"/>
      <c r="E40" s="18">
        <f>C40-D40</f>
        <v>250993.54699999999</v>
      </c>
      <c r="F40" s="26">
        <f>62947.09615</f>
        <v>62947.096149999998</v>
      </c>
      <c r="G40" s="40"/>
      <c r="H40" s="18">
        <f>F40-G40</f>
        <v>62947.096149999998</v>
      </c>
      <c r="I40" s="26">
        <f>62947.09615-F40</f>
        <v>0</v>
      </c>
      <c r="J40" s="40"/>
      <c r="K40" s="18">
        <f t="shared" si="2"/>
        <v>0</v>
      </c>
      <c r="L40" s="26">
        <v>255091.94899999999</v>
      </c>
      <c r="M40" s="40"/>
      <c r="N40" s="18">
        <f t="shared" si="3"/>
        <v>255091.94899999999</v>
      </c>
      <c r="O40" s="26">
        <v>255091.94899999999</v>
      </c>
      <c r="P40" s="40"/>
      <c r="Q40" s="18">
        <f t="shared" si="4"/>
        <v>255091.94899999999</v>
      </c>
      <c r="R40" s="19">
        <f>Q40/E40</f>
        <v>1.0163287146183084</v>
      </c>
      <c r="S40" s="26">
        <v>114791.37705</v>
      </c>
      <c r="T40" s="40"/>
      <c r="U40" s="18">
        <f t="shared" si="5"/>
        <v>114791.37705</v>
      </c>
      <c r="V40" s="26">
        <v>0</v>
      </c>
      <c r="W40" s="40"/>
      <c r="X40" s="18">
        <f t="shared" si="6"/>
        <v>0</v>
      </c>
      <c r="Y40" s="26">
        <f>O40</f>
        <v>255091.94899999999</v>
      </c>
      <c r="Z40" s="40"/>
      <c r="AA40" s="18">
        <f t="shared" si="7"/>
        <v>255091.94899999999</v>
      </c>
      <c r="AB40" s="19">
        <f>AA40/E40</f>
        <v>1.0163287146183084</v>
      </c>
    </row>
    <row r="41" spans="1:28" x14ac:dyDescent="0.25">
      <c r="A41" s="24"/>
      <c r="B41" s="25" t="s">
        <v>62</v>
      </c>
      <c r="C41" s="26">
        <v>92812.058999999994</v>
      </c>
      <c r="D41" s="40"/>
      <c r="E41" s="18">
        <f t="shared" si="0"/>
        <v>92812.058999999994</v>
      </c>
      <c r="F41" s="26">
        <f>12731.50735</f>
        <v>12731.50735</v>
      </c>
      <c r="G41" s="40"/>
      <c r="H41" s="18">
        <f t="shared" si="1"/>
        <v>12731.50735</v>
      </c>
      <c r="I41" s="26">
        <f>12731.50735-F41</f>
        <v>0</v>
      </c>
      <c r="J41" s="40"/>
      <c r="K41" s="18">
        <f t="shared" si="2"/>
        <v>0</v>
      </c>
      <c r="L41" s="26">
        <v>68697.425000000003</v>
      </c>
      <c r="M41" s="40"/>
      <c r="N41" s="18">
        <f t="shared" si="3"/>
        <v>68697.425000000003</v>
      </c>
      <c r="O41" s="26">
        <v>68697.425000000003</v>
      </c>
      <c r="P41" s="40"/>
      <c r="Q41" s="18">
        <f t="shared" si="4"/>
        <v>68697.425000000003</v>
      </c>
      <c r="R41" s="19">
        <f t="shared" si="9"/>
        <v>0.74017779306027476</v>
      </c>
      <c r="S41" s="26">
        <v>30913.841250000001</v>
      </c>
      <c r="T41" s="40"/>
      <c r="U41" s="18">
        <f t="shared" si="5"/>
        <v>30913.841250000001</v>
      </c>
      <c r="V41" s="26">
        <v>0</v>
      </c>
      <c r="W41" s="40"/>
      <c r="X41" s="18">
        <f t="shared" si="6"/>
        <v>0</v>
      </c>
      <c r="Y41" s="26">
        <f>O41</f>
        <v>68697.425000000003</v>
      </c>
      <c r="Z41" s="40"/>
      <c r="AA41" s="18">
        <f t="shared" si="7"/>
        <v>68697.425000000003</v>
      </c>
      <c r="AB41" s="19">
        <f t="shared" si="8"/>
        <v>0.74017779306027476</v>
      </c>
    </row>
    <row r="42" spans="1:28" x14ac:dyDescent="0.25">
      <c r="A42" s="24"/>
      <c r="B42" s="25" t="s">
        <v>63</v>
      </c>
      <c r="C42" s="26"/>
      <c r="D42" s="40"/>
      <c r="E42" s="18">
        <f t="shared" si="0"/>
        <v>0</v>
      </c>
      <c r="F42" s="26"/>
      <c r="G42" s="40"/>
      <c r="H42" s="18">
        <f t="shared" si="1"/>
        <v>0</v>
      </c>
      <c r="I42" s="26"/>
      <c r="J42" s="40"/>
      <c r="K42" s="18">
        <f t="shared" si="2"/>
        <v>0</v>
      </c>
      <c r="L42" s="26"/>
      <c r="M42" s="40"/>
      <c r="N42" s="18">
        <f t="shared" si="3"/>
        <v>0</v>
      </c>
      <c r="O42" s="26"/>
      <c r="P42" s="40"/>
      <c r="Q42" s="18">
        <f t="shared" si="4"/>
        <v>0</v>
      </c>
      <c r="R42" s="19" t="e">
        <f t="shared" si="9"/>
        <v>#DIV/0!</v>
      </c>
      <c r="S42" s="26"/>
      <c r="T42" s="40"/>
      <c r="U42" s="18">
        <f t="shared" si="5"/>
        <v>0</v>
      </c>
      <c r="V42" s="26"/>
      <c r="W42" s="40"/>
      <c r="X42" s="18">
        <f t="shared" si="6"/>
        <v>0</v>
      </c>
      <c r="Y42" s="26"/>
      <c r="Z42" s="40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952529.61693999998</v>
      </c>
      <c r="D43" s="40">
        <f>C43</f>
        <v>952529.61693999998</v>
      </c>
      <c r="E43" s="18">
        <f t="shared" si="0"/>
        <v>0</v>
      </c>
      <c r="F43" s="26">
        <f>133010.34077</f>
        <v>133010.34077000001</v>
      </c>
      <c r="G43" s="40">
        <f>F43</f>
        <v>133010.34077000001</v>
      </c>
      <c r="H43" s="18">
        <f t="shared" si="1"/>
        <v>0</v>
      </c>
      <c r="I43" s="26">
        <f>222189.79991-F43</f>
        <v>89179.459139999992</v>
      </c>
      <c r="J43" s="40">
        <f>I43</f>
        <v>89179.459139999992</v>
      </c>
      <c r="K43" s="18">
        <f t="shared" si="2"/>
        <v>0</v>
      </c>
      <c r="L43" s="26">
        <v>715284.01126000006</v>
      </c>
      <c r="M43" s="40">
        <f>L43</f>
        <v>715284.01126000006</v>
      </c>
      <c r="N43" s="18">
        <f t="shared" si="3"/>
        <v>0</v>
      </c>
      <c r="O43" s="26">
        <v>808340.73546</v>
      </c>
      <c r="P43" s="40">
        <f>O43</f>
        <v>808340.73546</v>
      </c>
      <c r="Q43" s="18">
        <f t="shared" si="4"/>
        <v>0</v>
      </c>
      <c r="R43" s="19" t="e">
        <f t="shared" si="9"/>
        <v>#DIV/0!</v>
      </c>
      <c r="S43" s="26">
        <v>229968.39993000001</v>
      </c>
      <c r="T43" s="40">
        <f>S43</f>
        <v>229968.39993000001</v>
      </c>
      <c r="U43" s="18">
        <f t="shared" si="5"/>
        <v>0</v>
      </c>
      <c r="V43" s="26">
        <v>91412.3</v>
      </c>
      <c r="W43" s="40">
        <f>V43</f>
        <v>91412.3</v>
      </c>
      <c r="X43" s="18">
        <f t="shared" si="6"/>
        <v>0</v>
      </c>
      <c r="Y43" s="26">
        <f>O43+1000+4.2611-111894.55726-49531.72843</f>
        <v>647918.71086999995</v>
      </c>
      <c r="Z43" s="26">
        <f>Y43</f>
        <v>647918.71086999995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354414.20629</v>
      </c>
      <c r="D44" s="40">
        <f t="shared" ref="D44:D47" si="23">C44</f>
        <v>354414.20629</v>
      </c>
      <c r="E44" s="18">
        <f t="shared" si="0"/>
        <v>0</v>
      </c>
      <c r="F44" s="26">
        <f>2521.75158</f>
        <v>2521.7515800000001</v>
      </c>
      <c r="G44" s="40">
        <f t="shared" ref="G44:G47" si="24">F44</f>
        <v>2521.7515800000001</v>
      </c>
      <c r="H44" s="18">
        <f t="shared" si="1"/>
        <v>0</v>
      </c>
      <c r="I44" s="26">
        <f>4648.50281-F44</f>
        <v>2126.7512299999999</v>
      </c>
      <c r="J44" s="40">
        <f t="shared" ref="J44:J47" si="25">I44</f>
        <v>2126.7512299999999</v>
      </c>
      <c r="K44" s="18">
        <f t="shared" si="2"/>
        <v>0</v>
      </c>
      <c r="L44" s="26">
        <v>319172.28665999998</v>
      </c>
      <c r="M44" s="40">
        <f t="shared" ref="M44:M47" si="26">L44</f>
        <v>319172.28665999998</v>
      </c>
      <c r="N44" s="18">
        <f t="shared" si="3"/>
        <v>0</v>
      </c>
      <c r="O44" s="26">
        <v>317172.28665999998</v>
      </c>
      <c r="P44" s="40">
        <f>O44</f>
        <v>317172.28665999998</v>
      </c>
      <c r="Q44" s="18">
        <f t="shared" si="4"/>
        <v>0</v>
      </c>
      <c r="R44" s="19" t="e">
        <f t="shared" si="9"/>
        <v>#DIV/0!</v>
      </c>
      <c r="S44" s="26">
        <v>26715.984390000001</v>
      </c>
      <c r="T44" s="40">
        <f>S44</f>
        <v>26715.984390000001</v>
      </c>
      <c r="U44" s="18">
        <f t="shared" si="5"/>
        <v>0</v>
      </c>
      <c r="V44" s="26"/>
      <c r="W44" s="40">
        <f>V44</f>
        <v>0</v>
      </c>
      <c r="X44" s="18">
        <f t="shared" si="6"/>
        <v>0</v>
      </c>
      <c r="Y44" s="26">
        <f>O44-111894.55726-49531.72843</f>
        <v>155746.00096999999</v>
      </c>
      <c r="Z44" s="26">
        <f t="shared" ref="Z44:Z46" si="27">Y44</f>
        <v>155746.00096999999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940309.48539000005</v>
      </c>
      <c r="D45" s="40">
        <f t="shared" si="23"/>
        <v>940309.48539000005</v>
      </c>
      <c r="E45" s="18">
        <f t="shared" si="0"/>
        <v>0</v>
      </c>
      <c r="F45" s="26">
        <f>423368.88316</f>
        <v>423368.88316000003</v>
      </c>
      <c r="G45" s="40">
        <f t="shared" si="24"/>
        <v>423368.88316000003</v>
      </c>
      <c r="H45" s="18">
        <f t="shared" si="1"/>
        <v>0</v>
      </c>
      <c r="I45" s="26">
        <f>530994.60941-F45</f>
        <v>107625.72625000001</v>
      </c>
      <c r="J45" s="40">
        <f t="shared" si="25"/>
        <v>107625.72625000001</v>
      </c>
      <c r="K45" s="18">
        <f t="shared" si="2"/>
        <v>0</v>
      </c>
      <c r="L45" s="26">
        <v>988479.10737999994</v>
      </c>
      <c r="M45" s="40">
        <f>L45</f>
        <v>988479.10737999994</v>
      </c>
      <c r="N45" s="18">
        <f t="shared" si="3"/>
        <v>0</v>
      </c>
      <c r="O45" s="26">
        <v>988598.99503999995</v>
      </c>
      <c r="P45" s="40">
        <f>O45</f>
        <v>988598.99503999995</v>
      </c>
      <c r="Q45" s="18">
        <f t="shared" si="4"/>
        <v>0</v>
      </c>
      <c r="R45" s="19" t="e">
        <f t="shared" si="9"/>
        <v>#DIV/0!</v>
      </c>
      <c r="S45" s="26">
        <v>483692.70299000002</v>
      </c>
      <c r="T45" s="40">
        <f>S45</f>
        <v>483692.70299000002</v>
      </c>
      <c r="U45" s="18">
        <f t="shared" si="5"/>
        <v>0</v>
      </c>
      <c r="V45" s="26">
        <v>112415.3</v>
      </c>
      <c r="W45" s="40">
        <f>V45</f>
        <v>112415.3</v>
      </c>
      <c r="X45" s="18">
        <f t="shared" si="6"/>
        <v>0</v>
      </c>
      <c r="Y45" s="26">
        <f>O45</f>
        <v>988598.99503999995</v>
      </c>
      <c r="Z45" s="26">
        <f t="shared" si="27"/>
        <v>988598.99503999995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58265.564209999997</v>
      </c>
      <c r="D46" s="40">
        <f t="shared" si="23"/>
        <v>58265.564209999997</v>
      </c>
      <c r="E46" s="18">
        <f t="shared" si="0"/>
        <v>0</v>
      </c>
      <c r="F46" s="26">
        <f>33330.78669</f>
        <v>33330.786690000001</v>
      </c>
      <c r="G46" s="40">
        <f t="shared" si="24"/>
        <v>33330.786690000001</v>
      </c>
      <c r="H46" s="18">
        <f t="shared" si="1"/>
        <v>0</v>
      </c>
      <c r="I46" s="26">
        <f>33330.78669-F46</f>
        <v>0</v>
      </c>
      <c r="J46" s="40">
        <f t="shared" si="25"/>
        <v>0</v>
      </c>
      <c r="K46" s="18">
        <f t="shared" si="2"/>
        <v>0</v>
      </c>
      <c r="L46" s="26">
        <v>38150.300000000003</v>
      </c>
      <c r="M46" s="40">
        <f t="shared" si="26"/>
        <v>38150.300000000003</v>
      </c>
      <c r="N46" s="18">
        <f t="shared" si="3"/>
        <v>0</v>
      </c>
      <c r="O46" s="26">
        <v>268498.40000000002</v>
      </c>
      <c r="P46" s="40">
        <f>O46</f>
        <v>268498.40000000002</v>
      </c>
      <c r="Q46" s="18">
        <f t="shared" si="4"/>
        <v>0</v>
      </c>
      <c r="R46" s="19" t="e">
        <f t="shared" si="9"/>
        <v>#DIV/0!</v>
      </c>
      <c r="S46" s="26">
        <v>29535.491979999999</v>
      </c>
      <c r="T46" s="40">
        <f>S46</f>
        <v>29535.491979999999</v>
      </c>
      <c r="U46" s="18">
        <f t="shared" si="5"/>
        <v>0</v>
      </c>
      <c r="V46" s="26">
        <v>542.29999999999995</v>
      </c>
      <c r="W46" s="40">
        <f>V46</f>
        <v>542.29999999999995</v>
      </c>
      <c r="X46" s="18">
        <f t="shared" si="6"/>
        <v>0</v>
      </c>
      <c r="Y46" s="26">
        <f>O46-222089.6+683.2+3858.1+655.2</f>
        <v>51605.30000000001</v>
      </c>
      <c r="Z46" s="26">
        <f t="shared" si="27"/>
        <v>51605.30000000001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4455.1210000000001</v>
      </c>
      <c r="D47" s="40">
        <f t="shared" si="23"/>
        <v>4455.1210000000001</v>
      </c>
      <c r="E47" s="18">
        <f>C47-D47</f>
        <v>0</v>
      </c>
      <c r="F47" s="26">
        <f>4455.121</f>
        <v>4455.1210000000001</v>
      </c>
      <c r="G47" s="40">
        <f t="shared" si="24"/>
        <v>4455.1210000000001</v>
      </c>
      <c r="H47" s="18">
        <f t="shared" si="1"/>
        <v>0</v>
      </c>
      <c r="I47" s="26">
        <f>4455.121-F47</f>
        <v>0</v>
      </c>
      <c r="J47" s="40">
        <f t="shared" si="25"/>
        <v>0</v>
      </c>
      <c r="K47" s="18">
        <f t="shared" si="2"/>
        <v>0</v>
      </c>
      <c r="L47" s="26">
        <v>0</v>
      </c>
      <c r="M47" s="40">
        <f t="shared" si="26"/>
        <v>0</v>
      </c>
      <c r="N47" s="18">
        <f t="shared" si="3"/>
        <v>0</v>
      </c>
      <c r="O47" s="26">
        <v>0</v>
      </c>
      <c r="P47" s="26">
        <f>O47</f>
        <v>0</v>
      </c>
      <c r="Q47" s="18">
        <f t="shared" si="4"/>
        <v>0</v>
      </c>
      <c r="R47" s="19" t="e">
        <f t="shared" si="9"/>
        <v>#DIV/0!</v>
      </c>
      <c r="S47" s="26"/>
      <c r="T47" s="26"/>
      <c r="U47" s="18">
        <f t="shared" si="5"/>
        <v>0</v>
      </c>
      <c r="V47" s="26"/>
      <c r="W47" s="26"/>
      <c r="X47" s="18">
        <f t="shared" si="6"/>
        <v>0</v>
      </c>
      <c r="Y47" s="26"/>
      <c r="Z47" s="26"/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f>4133.52635+2516.74249</f>
        <v>6650.2688400000006</v>
      </c>
      <c r="D48" s="26">
        <v>4474.8414899999998</v>
      </c>
      <c r="E48" s="18">
        <f>C48-D48</f>
        <v>2175.4273500000008</v>
      </c>
      <c r="F48" s="26">
        <f>3262.46607</f>
        <v>3262.4660699999999</v>
      </c>
      <c r="G48" s="26">
        <v>2587.03872</v>
      </c>
      <c r="H48" s="18">
        <f t="shared" si="1"/>
        <v>675.42734999999993</v>
      </c>
      <c r="I48" s="26">
        <f>3262.46607-F48</f>
        <v>0</v>
      </c>
      <c r="J48" s="40">
        <f>2587.03872-G48</f>
        <v>0</v>
      </c>
      <c r="K48" s="18">
        <f t="shared" si="2"/>
        <v>0</v>
      </c>
      <c r="L48" s="26"/>
      <c r="M48" s="40"/>
      <c r="N48" s="18">
        <f t="shared" si="3"/>
        <v>0</v>
      </c>
      <c r="O48" s="26">
        <v>1243.9000000000001</v>
      </c>
      <c r="P48" s="26"/>
      <c r="Q48" s="18">
        <f t="shared" si="4"/>
        <v>1243.9000000000001</v>
      </c>
      <c r="R48" s="19">
        <f t="shared" si="9"/>
        <v>0.57179569798090457</v>
      </c>
      <c r="S48" s="26">
        <f>1134.12886+133.36119+2324.35264</f>
        <v>3591.8426900000004</v>
      </c>
      <c r="T48" s="26">
        <v>2344.1892699999999</v>
      </c>
      <c r="U48" s="18">
        <f t="shared" si="5"/>
        <v>1247.6534200000006</v>
      </c>
      <c r="V48" s="26">
        <v>0</v>
      </c>
      <c r="W48" s="26">
        <v>0</v>
      </c>
      <c r="X48" s="18">
        <f t="shared" si="6"/>
        <v>0</v>
      </c>
      <c r="Y48" s="26">
        <f>S48</f>
        <v>3591.8426900000004</v>
      </c>
      <c r="Z48" s="26">
        <f>T48</f>
        <v>2344.1892699999999</v>
      </c>
      <c r="AA48" s="18">
        <f t="shared" si="7"/>
        <v>1247.6534200000006</v>
      </c>
      <c r="AB48" s="19">
        <f t="shared" si="8"/>
        <v>0.57352106932001201</v>
      </c>
    </row>
    <row r="49" spans="1:28" ht="39" x14ac:dyDescent="0.25">
      <c r="A49" s="24" t="s">
        <v>72</v>
      </c>
      <c r="B49" s="25" t="s">
        <v>73</v>
      </c>
      <c r="C49" s="26">
        <f>-7351.90133</f>
        <v>-7351.9013299999997</v>
      </c>
      <c r="D49" s="26">
        <v>-7351.9013299999997</v>
      </c>
      <c r="E49" s="18">
        <f t="shared" si="0"/>
        <v>0</v>
      </c>
      <c r="F49" s="26">
        <v>-4020.35932</v>
      </c>
      <c r="G49" s="26">
        <f>-4020.35932</f>
        <v>-4020.35932</v>
      </c>
      <c r="H49" s="18">
        <f t="shared" si="1"/>
        <v>0</v>
      </c>
      <c r="I49" s="26">
        <f>-4262.04232-F49</f>
        <v>-241.68299999999954</v>
      </c>
      <c r="J49" s="40">
        <f>-4262.04232-G49</f>
        <v>-241.68299999999954</v>
      </c>
      <c r="K49" s="18">
        <f t="shared" si="2"/>
        <v>0</v>
      </c>
      <c r="L49" s="26"/>
      <c r="M49" s="40"/>
      <c r="N49" s="18">
        <f t="shared" si="3"/>
        <v>0</v>
      </c>
      <c r="O49" s="26">
        <v>0</v>
      </c>
      <c r="P49" s="26"/>
      <c r="Q49" s="18">
        <f t="shared" si="4"/>
        <v>0</v>
      </c>
      <c r="R49" s="19" t="e">
        <f t="shared" si="9"/>
        <v>#DIV/0!</v>
      </c>
      <c r="S49" s="26">
        <f>-2824.68213</f>
        <v>-2824.6821300000001</v>
      </c>
      <c r="T49" s="26">
        <f>S49</f>
        <v>-2824.6821300000001</v>
      </c>
      <c r="U49" s="18">
        <f t="shared" si="5"/>
        <v>0</v>
      </c>
      <c r="V49" s="26">
        <v>0</v>
      </c>
      <c r="W49" s="26">
        <v>0</v>
      </c>
      <c r="X49" s="18">
        <f t="shared" si="6"/>
        <v>0</v>
      </c>
      <c r="Y49" s="26">
        <f>S49</f>
        <v>-2824.6821300000001</v>
      </c>
      <c r="Z49" s="26">
        <f>T49</f>
        <v>-2824.6821300000001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1"/>
      <c r="B50" s="42" t="s">
        <v>74</v>
      </c>
      <c r="C50" s="18">
        <f>C6</f>
        <v>3373105.6049599997</v>
      </c>
      <c r="D50" s="18">
        <f>D6</f>
        <v>1954556.6343900003</v>
      </c>
      <c r="E50" s="18">
        <f>E6</f>
        <v>1418548.9705699994</v>
      </c>
      <c r="F50" s="18">
        <f>F6</f>
        <v>1154132.9072</v>
      </c>
      <c r="G50" s="18">
        <f t="shared" ref="G50:H50" si="28">G6</f>
        <v>593356.83703000005</v>
      </c>
      <c r="H50" s="18">
        <f t="shared" si="28"/>
        <v>560776.07016999996</v>
      </c>
      <c r="I50" s="18">
        <f>I6</f>
        <v>283186.26089000009</v>
      </c>
      <c r="J50" s="18">
        <f t="shared" ref="J50:K50" si="29">J6</f>
        <v>196653.50239000001</v>
      </c>
      <c r="K50" s="18">
        <f t="shared" si="29"/>
        <v>86532.758500000084</v>
      </c>
      <c r="L50" s="18">
        <f>L6</f>
        <v>3048860.58164</v>
      </c>
      <c r="M50" s="18">
        <f t="shared" ref="M50:N50" si="30">M6</f>
        <v>1741913.41864</v>
      </c>
      <c r="N50" s="18">
        <f t="shared" si="30"/>
        <v>1306947.1629999999</v>
      </c>
      <c r="O50" s="18">
        <f>O6</f>
        <v>3373864.1934999996</v>
      </c>
      <c r="P50" s="18">
        <f t="shared" ref="P50:Q50" si="31">P6</f>
        <v>2065673.1305</v>
      </c>
      <c r="Q50" s="18">
        <f t="shared" si="31"/>
        <v>1308191.0629999996</v>
      </c>
      <c r="R50" s="19">
        <f t="shared" si="9"/>
        <v>0.92220366736746784</v>
      </c>
      <c r="S50" s="18">
        <f>S6</f>
        <v>1413106.7613400002</v>
      </c>
      <c r="T50" s="18">
        <f t="shared" ref="T50:U50" si="32">T6</f>
        <v>743205.63014999998</v>
      </c>
      <c r="U50" s="18">
        <f t="shared" si="32"/>
        <v>669901.13119000022</v>
      </c>
      <c r="V50" s="18">
        <f>V6</f>
        <v>245741.61852999998</v>
      </c>
      <c r="W50" s="18">
        <f t="shared" ref="W50:X50" si="33">W6</f>
        <v>204369.9</v>
      </c>
      <c r="X50" s="18">
        <f t="shared" si="33"/>
        <v>41371.718529999984</v>
      </c>
      <c r="Y50" s="18">
        <f>Y6</f>
        <v>3000106.9002</v>
      </c>
      <c r="Z50" s="18">
        <f t="shared" ref="Z50:AA50" si="34">Z6</f>
        <v>1688132.04116</v>
      </c>
      <c r="AA50" s="18">
        <f t="shared" si="34"/>
        <v>1311974.85904</v>
      </c>
      <c r="AB50" s="19">
        <f t="shared" si="8"/>
        <v>0.92487103812343119</v>
      </c>
    </row>
    <row r="51" spans="1:28" x14ac:dyDescent="0.25">
      <c r="A51" s="43" t="s">
        <v>75</v>
      </c>
      <c r="B51" s="44" t="s">
        <v>76</v>
      </c>
      <c r="C51" s="45">
        <f>C52+C86</f>
        <v>3333718.34002</v>
      </c>
      <c r="D51" s="45">
        <f>D52+D86</f>
        <v>1951982.21104</v>
      </c>
      <c r="E51" s="46">
        <f>C51-D51</f>
        <v>1381736.12898</v>
      </c>
      <c r="F51" s="45">
        <f>F52+F86</f>
        <v>1083867.84763</v>
      </c>
      <c r="G51" s="45">
        <f>G52+G86</f>
        <v>571812.75550999993</v>
      </c>
      <c r="H51" s="46">
        <f>F51-G51</f>
        <v>512055.09212000004</v>
      </c>
      <c r="I51" s="45">
        <f>I52+I86</f>
        <v>297936.15951999993</v>
      </c>
      <c r="J51" s="45">
        <f>J52+J86</f>
        <v>191962.16897999993</v>
      </c>
      <c r="K51" s="46">
        <f>I51-J51</f>
        <v>105973.99054</v>
      </c>
      <c r="L51" s="45">
        <f>L52+L86</f>
        <v>3147176.2886099997</v>
      </c>
      <c r="M51" s="45">
        <f>M52+M86</f>
        <v>1741913.7386700001</v>
      </c>
      <c r="N51" s="46">
        <f>L51-M51</f>
        <v>1405262.5499399996</v>
      </c>
      <c r="O51" s="45">
        <f>O52+O86</f>
        <v>3171805.10072</v>
      </c>
      <c r="P51" s="45">
        <f>P52+P86</f>
        <v>1695646.82381</v>
      </c>
      <c r="Q51" s="46">
        <f>O51-P51</f>
        <v>1476158.27691</v>
      </c>
      <c r="R51" s="47">
        <f>Q51/E51</f>
        <v>1.0683358753886696</v>
      </c>
      <c r="S51" s="45">
        <f>S52+S86</f>
        <v>1333680.6680300003</v>
      </c>
      <c r="T51" s="45">
        <f>T52+T86</f>
        <v>748166.61765000003</v>
      </c>
      <c r="U51" s="46">
        <f>S51-T51</f>
        <v>585514.05038000026</v>
      </c>
      <c r="V51" s="45">
        <f>V52+V86</f>
        <v>287414.47699999996</v>
      </c>
      <c r="W51" s="45">
        <f>W52+W86</f>
        <v>205542.18</v>
      </c>
      <c r="X51" s="46">
        <f>V51-W51</f>
        <v>81872.296999999962</v>
      </c>
      <c r="Y51" s="45">
        <f>Y52+Y86</f>
        <v>3174089.10072</v>
      </c>
      <c r="Z51" s="45">
        <f>Z52+Z86</f>
        <v>1695646.82381</v>
      </c>
      <c r="AA51" s="46">
        <f>Y51-Z51</f>
        <v>1478442.27691</v>
      </c>
      <c r="AB51" s="47">
        <f t="shared" si="8"/>
        <v>1.0699888682807972</v>
      </c>
    </row>
    <row r="52" spans="1:28" x14ac:dyDescent="0.25">
      <c r="A52" s="48">
        <v>1</v>
      </c>
      <c r="B52" s="49" t="s">
        <v>77</v>
      </c>
      <c r="C52" s="50">
        <f>C53+C57+C62+C63+C64+C65+C79+C80</f>
        <v>2880293.5353399999</v>
      </c>
      <c r="D52" s="50">
        <f>D53+D57+D62+D63+D64+D65+D79+D80</f>
        <v>1725503.4989799999</v>
      </c>
      <c r="E52" s="39">
        <f>C52-D52</f>
        <v>1154790.03636</v>
      </c>
      <c r="F52" s="50">
        <f>F53+F57+F62+F63+F64+F65+F79+F80</f>
        <v>1014031.70248</v>
      </c>
      <c r="G52" s="50">
        <f>G53+G57+G62+G63+G64+G65+G79+G80</f>
        <v>570762.78700999997</v>
      </c>
      <c r="H52" s="39">
        <f>F52-G52</f>
        <v>443268.91547000001</v>
      </c>
      <c r="I52" s="50">
        <f>I53+I57+I62+I63+I64+I65+I79+I80</f>
        <v>229038.13863999993</v>
      </c>
      <c r="J52" s="50">
        <f>J53+J57+J62+J63+J64+J65+J79+J80</f>
        <v>139066.89647999994</v>
      </c>
      <c r="K52" s="39">
        <f>I52-J52</f>
        <v>89971.242159999994</v>
      </c>
      <c r="L52" s="50">
        <f>L53+L57+L62+L63+L64+L65+L79+L80</f>
        <v>2888020.9719399996</v>
      </c>
      <c r="M52" s="50">
        <f>M53+M57+M62+M63+M64+M65+M79+M80</f>
        <v>1689809.2719700001</v>
      </c>
      <c r="N52" s="39">
        <f>L52-M52</f>
        <v>1198211.6999699995</v>
      </c>
      <c r="O52" s="50">
        <f>O53+O57+O62+O63+O64+O65+O79+O80</f>
        <v>2865914.3371899999</v>
      </c>
      <c r="P52" s="50">
        <f>P53+P57+P62+P63+P64+P65+P79+P80</f>
        <v>1598936.43248</v>
      </c>
      <c r="Q52" s="39">
        <f>O52-P52</f>
        <v>1266977.9047099999</v>
      </c>
      <c r="R52" s="51">
        <f>Q52/E52</f>
        <v>1.0971500141303834</v>
      </c>
      <c r="S52" s="50">
        <f>S53+S57+S62+S63+S64+S65+S79+S80</f>
        <v>1264796.0081600002</v>
      </c>
      <c r="T52" s="50">
        <f>T53+T57+T62+T63+T64+T65+T79+T80</f>
        <v>728867.42449</v>
      </c>
      <c r="U52" s="39">
        <f>S52-T52</f>
        <v>535928.5836700002</v>
      </c>
      <c r="V52" s="50">
        <f>V53+V57+V62+V63+V64+V65+V79+V80</f>
        <v>235950.28699999998</v>
      </c>
      <c r="W52" s="50">
        <f>W53+W57+W62+W63+W64+W65+W79+W80</f>
        <v>167126.98000000001</v>
      </c>
      <c r="X52" s="39">
        <f>V52-W52</f>
        <v>68823.306999999972</v>
      </c>
      <c r="Y52" s="50">
        <f>Y53+Y57+Y62+Y63+Y64+Y65+Y79+Y80</f>
        <v>2868198.3371899999</v>
      </c>
      <c r="Z52" s="50">
        <f>Z53+Z57+Z62+Z63+Z64+Z65+Z79+Z80</f>
        <v>1598936.43248</v>
      </c>
      <c r="AA52" s="39">
        <f>Y52-Z52</f>
        <v>1269261.9047099999</v>
      </c>
      <c r="AB52" s="51">
        <f t="shared" si="8"/>
        <v>1.0991278628544678</v>
      </c>
    </row>
    <row r="53" spans="1:28" ht="38.25" x14ac:dyDescent="0.25">
      <c r="A53" s="52" t="s">
        <v>13</v>
      </c>
      <c r="B53" s="32" t="s">
        <v>78</v>
      </c>
      <c r="C53" s="26">
        <f>C55+C56+2015.13421+1245.95439</f>
        <v>163217.72047999999</v>
      </c>
      <c r="D53" s="26">
        <f>D55+D56+242.27337</f>
        <v>15312.777920000002</v>
      </c>
      <c r="E53" s="39">
        <f t="shared" si="0"/>
        <v>147904.94256</v>
      </c>
      <c r="F53" s="26">
        <f>53223.22522+477.20573+728.17129+14125.2441</f>
        <v>68553.846340000004</v>
      </c>
      <c r="G53" s="26">
        <f>4633.15558+1216.60276</f>
        <v>5849.7583399999994</v>
      </c>
      <c r="H53" s="39">
        <f t="shared" ref="H53:H104" si="35">F53-G53</f>
        <v>62704.088000000003</v>
      </c>
      <c r="I53" s="26">
        <f>64889.90419+707.47945+728.17129+17218.60429-F53</f>
        <v>14990.312879999998</v>
      </c>
      <c r="J53" s="26">
        <f>6244.79166+0+1608.69163-G53</f>
        <v>2003.7249500000007</v>
      </c>
      <c r="K53" s="39">
        <f t="shared" ref="K53:K104" si="36">I53-J53</f>
        <v>12986.587929999998</v>
      </c>
      <c r="L53" s="26">
        <f>L55+L56+3031.8</f>
        <v>174701.7977</v>
      </c>
      <c r="M53" s="26">
        <f>M55+M56+354</f>
        <v>16365.697700000001</v>
      </c>
      <c r="N53" s="39">
        <f t="shared" ref="N53:N104" si="37">L53-M53</f>
        <v>158336.1</v>
      </c>
      <c r="O53" s="26">
        <f>O55+O56+3159.05148+2140.80204</f>
        <v>181045.51965999999</v>
      </c>
      <c r="P53" s="26">
        <f>P55+P56+392</f>
        <v>16469.59836</v>
      </c>
      <c r="Q53" s="39">
        <f t="shared" ref="Q53:Q104" si="38">O53-P53</f>
        <v>164575.92129999999</v>
      </c>
      <c r="R53" s="51">
        <f>Q53/E53</f>
        <v>1.1127141422825484</v>
      </c>
      <c r="S53" s="26">
        <f>S55+S56+1894.2745+1501.60129</f>
        <v>78966.549460000009</v>
      </c>
      <c r="T53" s="26">
        <f>T55+T56+302.4604</f>
        <v>7544.8776799999996</v>
      </c>
      <c r="U53" s="39">
        <f t="shared" ref="U53:U104" si="39">S53-T53</f>
        <v>71421.671780000004</v>
      </c>
      <c r="V53" s="26">
        <f>V55+V56+212.3</f>
        <v>14395.8</v>
      </c>
      <c r="W53" s="26">
        <f>W55+W56+25</f>
        <v>2256.88</v>
      </c>
      <c r="X53" s="39">
        <f t="shared" ref="X53:X104" si="40">V53-W53</f>
        <v>12138.919999999998</v>
      </c>
      <c r="Y53" s="26">
        <f>O53</f>
        <v>181045.51965999999</v>
      </c>
      <c r="Z53" s="26">
        <f>P53</f>
        <v>16469.59836</v>
      </c>
      <c r="AA53" s="39">
        <f t="shared" ref="AA53:AA104" si="41">Y53-Z53</f>
        <v>164575.92129999999</v>
      </c>
      <c r="AB53" s="51">
        <f t="shared" si="8"/>
        <v>1.1127141422825484</v>
      </c>
    </row>
    <row r="54" spans="1:28" x14ac:dyDescent="0.25">
      <c r="A54" s="52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1"/>
      <c r="S54" s="26"/>
      <c r="T54" s="26"/>
      <c r="U54" s="39"/>
      <c r="V54" s="26"/>
      <c r="W54" s="26"/>
      <c r="X54" s="39"/>
      <c r="Y54" s="26"/>
      <c r="Z54" s="26"/>
      <c r="AA54" s="39"/>
      <c r="AB54" s="51"/>
    </row>
    <row r="55" spans="1:28" ht="25.5" x14ac:dyDescent="0.25">
      <c r="A55" s="52"/>
      <c r="B55" s="32" t="s">
        <v>79</v>
      </c>
      <c r="C55" s="26">
        <v>124762.26432</v>
      </c>
      <c r="D55" s="26">
        <v>11599.00625</v>
      </c>
      <c r="E55" s="39">
        <f t="shared" si="0"/>
        <v>113163.25807</v>
      </c>
      <c r="F55" s="26">
        <f>53223.22522</f>
        <v>53223.22522</v>
      </c>
      <c r="G55" s="26">
        <f>4633.15558</f>
        <v>4633.1555799999996</v>
      </c>
      <c r="H55" s="39">
        <f t="shared" si="35"/>
        <v>48590.069640000002</v>
      </c>
      <c r="I55" s="26">
        <f>64889.90419-F55</f>
        <v>11666.678970000001</v>
      </c>
      <c r="J55" s="26">
        <f>6244.79166-G55</f>
        <v>1611.6360800000002</v>
      </c>
      <c r="K55" s="39">
        <f t="shared" si="36"/>
        <v>10055.042890000001</v>
      </c>
      <c r="L55" s="26">
        <f>131854.03218</f>
        <v>131854.03218000001</v>
      </c>
      <c r="M55" s="26">
        <f>12300.70918</f>
        <v>12300.70918</v>
      </c>
      <c r="N55" s="39">
        <f t="shared" si="37"/>
        <v>119553.323</v>
      </c>
      <c r="O55" s="26">
        <f>135660.31827</f>
        <v>135660.31826999999</v>
      </c>
      <c r="P55" s="26">
        <v>12366.609839999999</v>
      </c>
      <c r="Q55" s="39">
        <f t="shared" si="38"/>
        <v>123293.70842999998</v>
      </c>
      <c r="R55" s="51">
        <f t="shared" ref="R55:R78" si="42">Q55/E55</f>
        <v>1.0895206671562385</v>
      </c>
      <c r="S55" s="26">
        <f>59893.4274</f>
        <v>59893.4274</v>
      </c>
      <c r="T55" s="26">
        <v>5678.5887599999996</v>
      </c>
      <c r="U55" s="39">
        <f t="shared" si="39"/>
        <v>54214.838640000002</v>
      </c>
      <c r="V55" s="26">
        <v>10893.6</v>
      </c>
      <c r="W55" s="26">
        <v>1714.2</v>
      </c>
      <c r="X55" s="39">
        <f t="shared" si="40"/>
        <v>9179.4</v>
      </c>
      <c r="Y55" s="26">
        <f t="shared" ref="Y55:Y63" si="43">O55</f>
        <v>135660.31826999999</v>
      </c>
      <c r="Z55" s="26">
        <f t="shared" ref="Z55:Z65" si="44">P55</f>
        <v>12366.609839999999</v>
      </c>
      <c r="AA55" s="39">
        <f t="shared" si="41"/>
        <v>123293.70842999998</v>
      </c>
      <c r="AB55" s="51">
        <f t="shared" si="8"/>
        <v>1.0895206671562385</v>
      </c>
    </row>
    <row r="56" spans="1:28" ht="25.5" x14ac:dyDescent="0.25">
      <c r="A56" s="52"/>
      <c r="B56" s="32" t="s">
        <v>80</v>
      </c>
      <c r="C56" s="26">
        <v>35194.367559999999</v>
      </c>
      <c r="D56" s="26">
        <v>3471.4983000000002</v>
      </c>
      <c r="E56" s="39">
        <f t="shared" si="0"/>
        <v>31722.869259999999</v>
      </c>
      <c r="F56" s="26">
        <f>14125.2441</f>
        <v>14125.2441</v>
      </c>
      <c r="G56" s="26">
        <f>1216.60276</f>
        <v>1216.60276</v>
      </c>
      <c r="H56" s="39">
        <f t="shared" si="35"/>
        <v>12908.64134</v>
      </c>
      <c r="I56" s="26">
        <f>17218.60429-F56</f>
        <v>3093.3601899999994</v>
      </c>
      <c r="J56" s="26">
        <f>1608.69163-G56</f>
        <v>392.08887000000004</v>
      </c>
      <c r="K56" s="39">
        <f t="shared" si="36"/>
        <v>2701.2713199999994</v>
      </c>
      <c r="L56" s="26">
        <v>39815.965519999998</v>
      </c>
      <c r="M56" s="26">
        <v>3710.9885199999999</v>
      </c>
      <c r="N56" s="39">
        <f t="shared" si="37"/>
        <v>36104.976999999999</v>
      </c>
      <c r="O56" s="26">
        <f>40085.34787</f>
        <v>40085.347869999998</v>
      </c>
      <c r="P56" s="26">
        <v>3710.9885199999999</v>
      </c>
      <c r="Q56" s="39">
        <f t="shared" si="38"/>
        <v>36374.359349999999</v>
      </c>
      <c r="R56" s="51">
        <f t="shared" si="42"/>
        <v>1.1466289209805229</v>
      </c>
      <c r="S56" s="26">
        <f>15677.24627</f>
        <v>15677.24627</v>
      </c>
      <c r="T56" s="26">
        <v>1563.82852</v>
      </c>
      <c r="U56" s="39">
        <f t="shared" si="39"/>
        <v>14113.417750000001</v>
      </c>
      <c r="V56" s="26">
        <v>3289.9</v>
      </c>
      <c r="W56" s="26">
        <v>517.67999999999995</v>
      </c>
      <c r="X56" s="39">
        <f t="shared" si="40"/>
        <v>2772.2200000000003</v>
      </c>
      <c r="Y56" s="26">
        <f t="shared" si="43"/>
        <v>40085.347869999998</v>
      </c>
      <c r="Z56" s="26">
        <f t="shared" si="44"/>
        <v>3710.9885199999999</v>
      </c>
      <c r="AA56" s="39">
        <f t="shared" si="41"/>
        <v>36374.359349999999</v>
      </c>
      <c r="AB56" s="51">
        <f t="shared" si="8"/>
        <v>1.1466289209805229</v>
      </c>
    </row>
    <row r="57" spans="1:28" ht="25.5" x14ac:dyDescent="0.25">
      <c r="A57" s="52" t="s">
        <v>56</v>
      </c>
      <c r="B57" s="32" t="s">
        <v>81</v>
      </c>
      <c r="C57" s="26">
        <f>497365.0625-C91</f>
        <v>138466.63633000001</v>
      </c>
      <c r="D57" s="53">
        <f>259105.58304-D91</f>
        <v>32626.870980000007</v>
      </c>
      <c r="E57" s="39">
        <f t="shared" si="0"/>
        <v>105839.76535</v>
      </c>
      <c r="F57" s="26">
        <f>38625.58018</f>
        <v>38625.580179999997</v>
      </c>
      <c r="G57" s="53">
        <f>9624.38884</f>
        <v>9624.3888399999996</v>
      </c>
      <c r="H57" s="39">
        <f t="shared" si="35"/>
        <v>29001.191339999998</v>
      </c>
      <c r="I57" s="26">
        <f>61811.67118-F57</f>
        <v>23186.091</v>
      </c>
      <c r="J57" s="53">
        <f>18884.62605-G57</f>
        <v>9260.2372099999993</v>
      </c>
      <c r="K57" s="39">
        <f t="shared" si="36"/>
        <v>13925.853790000001</v>
      </c>
      <c r="L57" s="26">
        <v>107540.02428</v>
      </c>
      <c r="M57" s="26">
        <v>8388.9742800000004</v>
      </c>
      <c r="N57" s="39">
        <f t="shared" si="37"/>
        <v>99151.05</v>
      </c>
      <c r="O57" s="26">
        <f>412887.39646-O91</f>
        <v>188067.75196000005</v>
      </c>
      <c r="P57" s="53">
        <f>148069.01015-P91</f>
        <v>51358.618819999989</v>
      </c>
      <c r="Q57" s="39">
        <f t="shared" si="38"/>
        <v>136709.13314000005</v>
      </c>
      <c r="R57" s="51">
        <f t="shared" si="42"/>
        <v>1.2916613400258266</v>
      </c>
      <c r="S57" s="26">
        <f>120520.05431-S91</f>
        <v>87516.561750000008</v>
      </c>
      <c r="T57" s="53">
        <f>51918.27726-T91</f>
        <v>32619.084100000004</v>
      </c>
      <c r="U57" s="39">
        <f t="shared" si="39"/>
        <v>54897.477650000001</v>
      </c>
      <c r="V57" s="26">
        <v>27415.3</v>
      </c>
      <c r="W57" s="53">
        <v>8412.6</v>
      </c>
      <c r="X57" s="39">
        <f t="shared" si="40"/>
        <v>19002.699999999997</v>
      </c>
      <c r="Y57" s="26">
        <f t="shared" si="43"/>
        <v>188067.75196000005</v>
      </c>
      <c r="Z57" s="26">
        <f t="shared" si="44"/>
        <v>51358.618819999989</v>
      </c>
      <c r="AA57" s="39">
        <f t="shared" si="41"/>
        <v>136709.13314000005</v>
      </c>
      <c r="AB57" s="51">
        <f t="shared" si="8"/>
        <v>1.2916613400258266</v>
      </c>
    </row>
    <row r="58" spans="1:28" x14ac:dyDescent="0.25">
      <c r="A58" s="54"/>
      <c r="B58" s="55" t="s">
        <v>7</v>
      </c>
      <c r="C58" s="35"/>
      <c r="D58" s="56"/>
      <c r="E58" s="57"/>
      <c r="F58" s="35"/>
      <c r="G58" s="56"/>
      <c r="H58" s="57"/>
      <c r="I58" s="35"/>
      <c r="J58" s="56"/>
      <c r="K58" s="57"/>
      <c r="L58" s="26"/>
      <c r="M58" s="26"/>
      <c r="N58" s="57"/>
      <c r="O58" s="35"/>
      <c r="P58" s="56"/>
      <c r="Q58" s="57"/>
      <c r="R58" s="58"/>
      <c r="S58" s="35"/>
      <c r="T58" s="56"/>
      <c r="U58" s="57"/>
      <c r="V58" s="35"/>
      <c r="W58" s="56"/>
      <c r="X58" s="57"/>
      <c r="Y58" s="26"/>
      <c r="Z58" s="26"/>
      <c r="AA58" s="57"/>
      <c r="AB58" s="58"/>
    </row>
    <row r="59" spans="1:28" ht="25.5" x14ac:dyDescent="0.25">
      <c r="A59" s="24"/>
      <c r="B59" s="32" t="s">
        <v>82</v>
      </c>
      <c r="C59" s="26">
        <f>25028.01733+2330.82446</f>
        <v>27358.841789999999</v>
      </c>
      <c r="D59" s="59">
        <f>585.20132</f>
        <v>585.20132000000001</v>
      </c>
      <c r="E59" s="39">
        <f t="shared" si="0"/>
        <v>26773.640469999998</v>
      </c>
      <c r="F59" s="26">
        <f>1811.47252+13673.1698</f>
        <v>15484.642319999999</v>
      </c>
      <c r="G59" s="59">
        <f>289.7085</f>
        <v>289.70850000000002</v>
      </c>
      <c r="H59" s="39">
        <f t="shared" si="35"/>
        <v>15194.933819999998</v>
      </c>
      <c r="I59" s="26">
        <f>1872.98918+14718-F59</f>
        <v>1106.3468600000015</v>
      </c>
      <c r="J59" s="59">
        <f>351.22516-G59</f>
        <v>61.516660000000002</v>
      </c>
      <c r="K59" s="39">
        <f t="shared" ref="K59:K61" si="45">I59-J59</f>
        <v>1044.8302000000015</v>
      </c>
      <c r="L59" s="26">
        <f>28249.706+197.445</f>
        <v>28447.150999999998</v>
      </c>
      <c r="M59" s="26">
        <f>0+197.445</f>
        <v>197.44499999999999</v>
      </c>
      <c r="N59" s="39">
        <f t="shared" ref="N59:N61" si="46">L59-M59</f>
        <v>28249.705999999998</v>
      </c>
      <c r="O59" s="26">
        <f>32620+1579.42767</f>
        <v>34199.427669999997</v>
      </c>
      <c r="P59" s="59">
        <f>0+721.29749</f>
        <v>721.29749000000004</v>
      </c>
      <c r="Q59" s="39">
        <f t="shared" ref="Q59:Q61" si="47">O59-P59</f>
        <v>33478.13018</v>
      </c>
      <c r="R59" s="51">
        <f t="shared" si="42"/>
        <v>1.2504138246538574</v>
      </c>
      <c r="S59" s="26">
        <f>14274+1155.60511</f>
        <v>15429.60511</v>
      </c>
      <c r="T59" s="59">
        <f>0</f>
        <v>0</v>
      </c>
      <c r="U59" s="39">
        <f t="shared" ref="U59:U61" si="48">S59-T59</f>
        <v>15429.60511</v>
      </c>
      <c r="V59" s="26">
        <v>2415.6</v>
      </c>
      <c r="W59" s="59">
        <v>0</v>
      </c>
      <c r="X59" s="39">
        <f t="shared" ref="X59:X61" si="49">V59-W59</f>
        <v>2415.6</v>
      </c>
      <c r="Y59" s="26">
        <f t="shared" si="43"/>
        <v>34199.427669999997</v>
      </c>
      <c r="Z59" s="26">
        <f t="shared" si="44"/>
        <v>721.29749000000004</v>
      </c>
      <c r="AA59" s="39">
        <f t="shared" ref="AA59:AA61" si="50">Y59-Z59</f>
        <v>33478.13018</v>
      </c>
      <c r="AB59" s="51">
        <f t="shared" si="8"/>
        <v>1.2504138246538574</v>
      </c>
    </row>
    <row r="60" spans="1:28" ht="25.5" x14ac:dyDescent="0.25">
      <c r="A60" s="24"/>
      <c r="B60" s="32" t="s">
        <v>83</v>
      </c>
      <c r="C60" s="26">
        <f>43043.9664+1618.47411</f>
        <v>44662.44051</v>
      </c>
      <c r="D60" s="59">
        <f>99.49392+5016</f>
        <v>5115.4939199999999</v>
      </c>
      <c r="E60" s="39">
        <f t="shared" si="0"/>
        <v>39546.94659</v>
      </c>
      <c r="F60" s="26">
        <f>49.1901+10819.33974</f>
        <v>10868.529839999999</v>
      </c>
      <c r="G60" s="59">
        <f>41.4558+2084.503</f>
        <v>2125.9588000000003</v>
      </c>
      <c r="H60" s="39">
        <f t="shared" si="35"/>
        <v>8742.5710399999989</v>
      </c>
      <c r="I60" s="26">
        <f>1303.61815+13251-F60</f>
        <v>3686.088310000001</v>
      </c>
      <c r="J60" s="59">
        <f>49.74696+6351-G60</f>
        <v>4274.7881600000001</v>
      </c>
      <c r="K60" s="39">
        <f t="shared" si="45"/>
        <v>-588.69984999999906</v>
      </c>
      <c r="L60" s="26">
        <f>42611.993+10029.781</f>
        <v>52641.774000000005</v>
      </c>
      <c r="M60" s="26">
        <f>5343.3</f>
        <v>5343.3</v>
      </c>
      <c r="N60" s="39">
        <f t="shared" si="46"/>
        <v>47298.474000000002</v>
      </c>
      <c r="O60" s="26">
        <f>60347+15151.04264</f>
        <v>75498.04264</v>
      </c>
      <c r="P60" s="59">
        <f>11073+95.70712</f>
        <v>11168.707119999999</v>
      </c>
      <c r="Q60" s="39">
        <f t="shared" si="47"/>
        <v>64329.335520000001</v>
      </c>
      <c r="R60" s="51">
        <f t="shared" si="42"/>
        <v>1.6266574556799431</v>
      </c>
      <c r="S60" s="26">
        <f>18277+1846.29203</f>
        <v>20123.292030000001</v>
      </c>
      <c r="T60" s="59">
        <f>1538</f>
        <v>1538</v>
      </c>
      <c r="U60" s="39">
        <f t="shared" si="48"/>
        <v>18585.292030000001</v>
      </c>
      <c r="V60" s="26">
        <v>2002.6</v>
      </c>
      <c r="W60" s="59">
        <v>896.3</v>
      </c>
      <c r="X60" s="39">
        <f t="shared" si="49"/>
        <v>1106.3</v>
      </c>
      <c r="Y60" s="26">
        <f t="shared" si="43"/>
        <v>75498.04264</v>
      </c>
      <c r="Z60" s="26">
        <f t="shared" si="44"/>
        <v>11168.707119999999</v>
      </c>
      <c r="AA60" s="39">
        <f t="shared" si="50"/>
        <v>64329.335520000001</v>
      </c>
      <c r="AB60" s="51">
        <f t="shared" si="8"/>
        <v>1.6266574556799431</v>
      </c>
    </row>
    <row r="61" spans="1:28" ht="25.5" x14ac:dyDescent="0.25">
      <c r="A61" s="24"/>
      <c r="B61" s="32" t="s">
        <v>84</v>
      </c>
      <c r="C61" s="26">
        <f>40854.61667+1858.08809</f>
        <v>42712.704760000001</v>
      </c>
      <c r="D61" s="59">
        <f>1492.80575+18924</f>
        <v>20416.80575</v>
      </c>
      <c r="E61" s="39">
        <f t="shared" si="0"/>
        <v>22295.899010000001</v>
      </c>
      <c r="F61" s="26">
        <f>8158.4332</f>
        <v>8158.4332000000004</v>
      </c>
      <c r="G61" s="59">
        <f>6900</f>
        <v>6900</v>
      </c>
      <c r="H61" s="39">
        <f t="shared" si="35"/>
        <v>1258.4332000000004</v>
      </c>
      <c r="I61" s="26">
        <f>66.5931+25954-F61</f>
        <v>17862.159899999999</v>
      </c>
      <c r="J61" s="59">
        <f>66.5931+15416-G61</f>
        <v>8582.5931</v>
      </c>
      <c r="K61" s="39">
        <f t="shared" si="45"/>
        <v>9279.5667999999987</v>
      </c>
      <c r="L61" s="26">
        <f>0+838.1</f>
        <v>838.1</v>
      </c>
      <c r="M61" s="26">
        <f>0+238.1</f>
        <v>238.1</v>
      </c>
      <c r="N61" s="39">
        <f t="shared" si="46"/>
        <v>600</v>
      </c>
      <c r="O61" s="26">
        <f>45956+2839.29</f>
        <v>48795.29</v>
      </c>
      <c r="P61" s="59">
        <f>30175+312.39</f>
        <v>30487.39</v>
      </c>
      <c r="Q61" s="39">
        <f t="shared" si="47"/>
        <v>18307.900000000001</v>
      </c>
      <c r="R61" s="51">
        <f t="shared" si="42"/>
        <v>0.82113306988826373</v>
      </c>
      <c r="S61" s="26">
        <v>46491.4</v>
      </c>
      <c r="T61" s="59">
        <f>30175+8.5</f>
        <v>30183.5</v>
      </c>
      <c r="U61" s="39">
        <f t="shared" si="48"/>
        <v>16307.900000000001</v>
      </c>
      <c r="V61" s="26">
        <v>21</v>
      </c>
      <c r="W61" s="59">
        <v>2</v>
      </c>
      <c r="X61" s="39">
        <f t="shared" si="49"/>
        <v>19</v>
      </c>
      <c r="Y61" s="26">
        <f t="shared" si="43"/>
        <v>48795.29</v>
      </c>
      <c r="Z61" s="26">
        <f t="shared" si="44"/>
        <v>30487.39</v>
      </c>
      <c r="AA61" s="39">
        <f t="shared" si="50"/>
        <v>18307.900000000001</v>
      </c>
      <c r="AB61" s="51">
        <f t="shared" si="8"/>
        <v>0.82113306988826373</v>
      </c>
    </row>
    <row r="62" spans="1:28" ht="25.5" x14ac:dyDescent="0.25">
      <c r="A62" s="52" t="s">
        <v>85</v>
      </c>
      <c r="B62" s="32" t="s">
        <v>86</v>
      </c>
      <c r="C62" s="26">
        <f>55147.44993-C96</f>
        <v>54150.395000000004</v>
      </c>
      <c r="D62" s="53">
        <f>47239.47923-D96</f>
        <v>47239.479229999997</v>
      </c>
      <c r="E62" s="39">
        <f t="shared" si="0"/>
        <v>6910.9157700000069</v>
      </c>
      <c r="F62" s="26">
        <f>26249.9821</f>
        <v>26249.982100000001</v>
      </c>
      <c r="G62" s="53">
        <f>24092.34393</f>
        <v>24092.343929999999</v>
      </c>
      <c r="H62" s="39">
        <f t="shared" si="35"/>
        <v>2157.638170000002</v>
      </c>
      <c r="I62" s="26">
        <f>30012.35147-F62</f>
        <v>3762.3693700000003</v>
      </c>
      <c r="J62" s="53">
        <f>27420.93571-G62</f>
        <v>3328.5917800000025</v>
      </c>
      <c r="K62" s="39">
        <f t="shared" si="36"/>
        <v>433.77758999999787</v>
      </c>
      <c r="L62" s="26">
        <v>72637.649999999994</v>
      </c>
      <c r="M62" s="53">
        <v>66711.899999999994</v>
      </c>
      <c r="N62" s="39">
        <f t="shared" si="37"/>
        <v>5925.75</v>
      </c>
      <c r="O62" s="26">
        <f>77256.61308-O96</f>
        <v>77256.613079999996</v>
      </c>
      <c r="P62" s="53">
        <v>68050.3</v>
      </c>
      <c r="Q62" s="39">
        <f t="shared" si="38"/>
        <v>9206.3130799999926</v>
      </c>
      <c r="R62" s="51">
        <f t="shared" si="42"/>
        <v>1.3321408314603123</v>
      </c>
      <c r="S62" s="26">
        <f>38228.65141-S96</f>
        <v>38228.651409999999</v>
      </c>
      <c r="T62" s="53">
        <v>34683.239880000001</v>
      </c>
      <c r="U62" s="39">
        <f t="shared" si="39"/>
        <v>3545.4115299999976</v>
      </c>
      <c r="V62" s="26">
        <v>6312.3</v>
      </c>
      <c r="W62" s="53">
        <v>6712.3</v>
      </c>
      <c r="X62" s="39">
        <f t="shared" si="40"/>
        <v>-400</v>
      </c>
      <c r="Y62" s="26">
        <f t="shared" si="43"/>
        <v>77256.613079999996</v>
      </c>
      <c r="Z62" s="26">
        <f t="shared" si="44"/>
        <v>68050.3</v>
      </c>
      <c r="AA62" s="39">
        <f t="shared" si="41"/>
        <v>9206.3130799999926</v>
      </c>
      <c r="AB62" s="51">
        <f t="shared" si="8"/>
        <v>1.3321408314603123</v>
      </c>
    </row>
    <row r="63" spans="1:28" ht="25.5" x14ac:dyDescent="0.25">
      <c r="A63" s="52" t="s">
        <v>87</v>
      </c>
      <c r="B63" s="32" t="s">
        <v>88</v>
      </c>
      <c r="C63" s="26">
        <f>366730.27154-C97</f>
        <v>366730.27153999999</v>
      </c>
      <c r="D63" s="59">
        <v>347764.20629</v>
      </c>
      <c r="E63" s="39">
        <f t="shared" si="0"/>
        <v>18966.065249999985</v>
      </c>
      <c r="F63" s="26">
        <f>2654.47234</f>
        <v>2654.4723399999998</v>
      </c>
      <c r="G63" s="59">
        <f>2521.75158</f>
        <v>2521.7515800000001</v>
      </c>
      <c r="H63" s="39">
        <f t="shared" si="35"/>
        <v>132.7207599999997</v>
      </c>
      <c r="I63" s="26">
        <f>2793.16084-F63</f>
        <v>138.6885000000002</v>
      </c>
      <c r="J63" s="59">
        <f>2653.50281-G63</f>
        <v>131.75122999999985</v>
      </c>
      <c r="K63" s="39">
        <f t="shared" si="36"/>
        <v>6.9372700000003533</v>
      </c>
      <c r="L63" s="26">
        <v>351266.43790999998</v>
      </c>
      <c r="M63" s="59">
        <v>319172.28665999998</v>
      </c>
      <c r="N63" s="39">
        <f t="shared" si="37"/>
        <v>32094.151249999995</v>
      </c>
      <c r="O63" s="26">
        <f>195980.15222-O97</f>
        <v>195980.15221999999</v>
      </c>
      <c r="P63" s="59">
        <v>157746.00096999999</v>
      </c>
      <c r="Q63" s="39">
        <f t="shared" si="38"/>
        <v>38234.151249999995</v>
      </c>
      <c r="R63" s="51">
        <f t="shared" si="42"/>
        <v>2.0159242703227558</v>
      </c>
      <c r="S63" s="26">
        <f>28122.08883-S97</f>
        <v>28122.088830000001</v>
      </c>
      <c r="T63" s="59">
        <v>26715.984390000001</v>
      </c>
      <c r="U63" s="39">
        <f t="shared" si="39"/>
        <v>1406.1044399999992</v>
      </c>
      <c r="V63" s="26">
        <v>0</v>
      </c>
      <c r="W63" s="59">
        <v>0</v>
      </c>
      <c r="X63" s="39">
        <f t="shared" si="40"/>
        <v>0</v>
      </c>
      <c r="Y63" s="26">
        <f t="shared" si="43"/>
        <v>195980.15221999999</v>
      </c>
      <c r="Z63" s="26">
        <f t="shared" si="44"/>
        <v>157746.00096999999</v>
      </c>
      <c r="AA63" s="39">
        <f t="shared" si="41"/>
        <v>38234.151249999995</v>
      </c>
      <c r="AB63" s="51">
        <f t="shared" si="8"/>
        <v>2.0159242703227558</v>
      </c>
    </row>
    <row r="64" spans="1:28" x14ac:dyDescent="0.25">
      <c r="A64" s="52" t="s">
        <v>89</v>
      </c>
      <c r="B64" s="32" t="s">
        <v>90</v>
      </c>
      <c r="C64" s="26"/>
      <c r="D64" s="59"/>
      <c r="E64" s="39">
        <f t="shared" si="0"/>
        <v>0</v>
      </c>
      <c r="F64" s="26"/>
      <c r="G64" s="59"/>
      <c r="H64" s="39">
        <f t="shared" si="35"/>
        <v>0</v>
      </c>
      <c r="I64" s="26"/>
      <c r="J64" s="59"/>
      <c r="K64" s="39">
        <f t="shared" si="36"/>
        <v>0</v>
      </c>
      <c r="L64" s="26"/>
      <c r="M64" s="59"/>
      <c r="N64" s="39">
        <f t="shared" si="37"/>
        <v>0</v>
      </c>
      <c r="O64" s="26"/>
      <c r="P64" s="59"/>
      <c r="Q64" s="39">
        <f t="shared" si="38"/>
        <v>0</v>
      </c>
      <c r="R64" s="51" t="e">
        <f t="shared" si="42"/>
        <v>#DIV/0!</v>
      </c>
      <c r="S64" s="26"/>
      <c r="T64" s="59"/>
      <c r="U64" s="39">
        <f t="shared" si="39"/>
        <v>0</v>
      </c>
      <c r="V64" s="26"/>
      <c r="W64" s="59"/>
      <c r="X64" s="39">
        <f t="shared" si="40"/>
        <v>0</v>
      </c>
      <c r="Y64" s="26"/>
      <c r="Z64" s="26"/>
      <c r="AA64" s="39">
        <f t="shared" si="41"/>
        <v>0</v>
      </c>
      <c r="AB64" s="51" t="e">
        <f t="shared" si="8"/>
        <v>#DIV/0!</v>
      </c>
    </row>
    <row r="65" spans="1:28" ht="38.25" x14ac:dyDescent="0.25">
      <c r="A65" s="52" t="s">
        <v>91</v>
      </c>
      <c r="B65" s="32" t="s">
        <v>92</v>
      </c>
      <c r="C65" s="26">
        <v>2139587.1211100002</v>
      </c>
      <c r="D65" s="59">
        <v>1279238.31467</v>
      </c>
      <c r="E65" s="39">
        <f t="shared" si="0"/>
        <v>860348.80644000019</v>
      </c>
      <c r="F65" s="26">
        <f>877129.82383</f>
        <v>877129.82383000001</v>
      </c>
      <c r="G65" s="59">
        <f>528074.33432</f>
        <v>528074.33432000002</v>
      </c>
      <c r="H65" s="39">
        <f t="shared" si="35"/>
        <v>349055.48950999998</v>
      </c>
      <c r="I65" s="26">
        <f>1062266.02283-F65</f>
        <v>185136.19899999991</v>
      </c>
      <c r="J65" s="59">
        <f>651262.78574-G65</f>
        <v>123188.45141999994</v>
      </c>
      <c r="K65" s="39">
        <f t="shared" si="36"/>
        <v>61947.747579999967</v>
      </c>
      <c r="L65" s="26">
        <v>2157410.9620500002</v>
      </c>
      <c r="M65" s="59">
        <v>1275139.31333</v>
      </c>
      <c r="N65" s="39">
        <f t="shared" si="37"/>
        <v>882271.64872000017</v>
      </c>
      <c r="O65" s="26">
        <v>2204754.4652900002</v>
      </c>
      <c r="P65" s="59">
        <v>1301280.81433</v>
      </c>
      <c r="Q65" s="39">
        <f t="shared" si="38"/>
        <v>903473.65096000023</v>
      </c>
      <c r="R65" s="51">
        <f t="shared" si="42"/>
        <v>1.050124837969433</v>
      </c>
      <c r="S65" s="26">
        <v>1030957.55133</v>
      </c>
      <c r="T65" s="59">
        <v>627304.23843999999</v>
      </c>
      <c r="U65" s="39">
        <f t="shared" si="39"/>
        <v>403653.31289000006</v>
      </c>
      <c r="V65" s="26">
        <v>187412.6</v>
      </c>
      <c r="W65" s="59">
        <v>149745.20000000001</v>
      </c>
      <c r="X65" s="39">
        <f t="shared" si="40"/>
        <v>37667.399999999994</v>
      </c>
      <c r="Y65" s="26">
        <f>O65+3784-1500</f>
        <v>2207038.4652900002</v>
      </c>
      <c r="Z65" s="26">
        <f t="shared" si="44"/>
        <v>1301280.81433</v>
      </c>
      <c r="AA65" s="39">
        <f t="shared" si="41"/>
        <v>905757.65096000023</v>
      </c>
      <c r="AB65" s="51">
        <f t="shared" si="8"/>
        <v>1.0527795751910149</v>
      </c>
    </row>
    <row r="66" spans="1:28" ht="51" x14ac:dyDescent="0.25">
      <c r="A66" s="52"/>
      <c r="B66" s="60" t="s">
        <v>93</v>
      </c>
      <c r="C66" s="61">
        <f>C67+C70+C71+C72+C73+C74</f>
        <v>2075847.1836100002</v>
      </c>
      <c r="D66" s="61">
        <f>D67+D70+D71+D72+D73+D74</f>
        <v>1232924.98832</v>
      </c>
      <c r="E66" s="61">
        <f t="shared" si="0"/>
        <v>842922.19529000018</v>
      </c>
      <c r="F66" s="62">
        <f>F67+F70+F71+F72+F73+F74</f>
        <v>963645.3266400001</v>
      </c>
      <c r="G66" s="62">
        <f>G67+G70+G71+G72+G73+G74</f>
        <v>561498.61291999999</v>
      </c>
      <c r="H66" s="61">
        <f t="shared" si="35"/>
        <v>402146.71372000012</v>
      </c>
      <c r="I66" s="62">
        <f>I67+I70+I71+I72+I73+I74</f>
        <v>143007.89670999997</v>
      </c>
      <c r="J66" s="62">
        <f>J67+J70+J71+J72+J73+J74</f>
        <v>103253.03164000003</v>
      </c>
      <c r="K66" s="61">
        <f t="shared" si="36"/>
        <v>39754.865069999942</v>
      </c>
      <c r="L66" s="62">
        <f>L67+L70+L71+L72+L73+L74</f>
        <v>2157411</v>
      </c>
      <c r="M66" s="62">
        <f>M67+M70+M71+M72+M73+M74</f>
        <v>1275139</v>
      </c>
      <c r="N66" s="61">
        <f t="shared" si="37"/>
        <v>882272</v>
      </c>
      <c r="O66" s="62">
        <f>O67+O70+O71+O72+O73+O74</f>
        <v>2422642.3531799996</v>
      </c>
      <c r="P66" s="62">
        <f>P67+P70+P71+P72+P73+P74</f>
        <v>1430969.5040000002</v>
      </c>
      <c r="Q66" s="61">
        <f t="shared" si="38"/>
        <v>991672.84917999944</v>
      </c>
      <c r="R66" s="63">
        <f t="shared" si="42"/>
        <v>1.1764702065281634</v>
      </c>
      <c r="S66" s="62">
        <f>S67+S70+S71+S72+S73+S74</f>
        <v>1084955.9849699999</v>
      </c>
      <c r="T66" s="62">
        <f>T67+T70+T71+T72+T73+T74</f>
        <v>660300.30726999999</v>
      </c>
      <c r="U66" s="61">
        <f t="shared" si="39"/>
        <v>424655.67769999988</v>
      </c>
      <c r="V66" s="62">
        <f>V67+V70+V71+V72+V73+V74</f>
        <v>163762.9</v>
      </c>
      <c r="W66" s="62">
        <f>W67+W70+W71+W72+W73+W74</f>
        <v>107528.9</v>
      </c>
      <c r="X66" s="61">
        <f t="shared" si="40"/>
        <v>56234</v>
      </c>
      <c r="Y66" s="62">
        <f>Y67+Y70+Y71+Y72+Y73+Y74</f>
        <v>2422642.3531799996</v>
      </c>
      <c r="Z66" s="62">
        <f>Z67+Z70+Z71+Z72+Z73+Z74</f>
        <v>1430969.5040000002</v>
      </c>
      <c r="AA66" s="61">
        <f t="shared" si="41"/>
        <v>991672.84917999944</v>
      </c>
      <c r="AB66" s="64">
        <f t="shared" si="8"/>
        <v>1.1764702065281634</v>
      </c>
    </row>
    <row r="67" spans="1:28" x14ac:dyDescent="0.25">
      <c r="A67" s="52" t="s">
        <v>94</v>
      </c>
      <c r="B67" s="65" t="s">
        <v>95</v>
      </c>
      <c r="C67" s="66">
        <v>1408433.7320000001</v>
      </c>
      <c r="D67" s="67">
        <f>977424.5+35224</f>
        <v>1012648.5</v>
      </c>
      <c r="E67" s="68">
        <f t="shared" si="0"/>
        <v>395785.23200000008</v>
      </c>
      <c r="F67" s="66">
        <f>671495.9+30007.00625</f>
        <v>701502.90625</v>
      </c>
      <c r="G67" s="67">
        <f>482909.4+17612</f>
        <v>500521.4</v>
      </c>
      <c r="H67" s="68">
        <f t="shared" si="35"/>
        <v>200981.50624999998</v>
      </c>
      <c r="I67" s="66">
        <f>767691.1+36165.3899-F67</f>
        <v>102353.58364999993</v>
      </c>
      <c r="J67" s="67">
        <f>554013.3+17612-G67</f>
        <v>71103.900000000023</v>
      </c>
      <c r="K67" s="68">
        <f t="shared" si="36"/>
        <v>31249.683649999904</v>
      </c>
      <c r="L67" s="66">
        <v>1526200</v>
      </c>
      <c r="M67" s="67">
        <v>1098450</v>
      </c>
      <c r="N67" s="68">
        <f t="shared" si="37"/>
        <v>427750</v>
      </c>
      <c r="O67" s="66">
        <f>1563642.4+75659.1475</f>
        <v>1639301.5474999999</v>
      </c>
      <c r="P67" s="67">
        <f>1208562.1+5387.404</f>
        <v>1213949.5040000002</v>
      </c>
      <c r="Q67" s="68">
        <f t="shared" si="38"/>
        <v>425352.04349999968</v>
      </c>
      <c r="R67" s="69">
        <f t="shared" si="42"/>
        <v>1.0747041807259741</v>
      </c>
      <c r="S67" s="66">
        <f>769916+37100.11766</f>
        <v>807016.11765999999</v>
      </c>
      <c r="T67" s="67">
        <f>594054.4+2641.90727</f>
        <v>596696.30726999999</v>
      </c>
      <c r="U67" s="68">
        <f t="shared" si="39"/>
        <v>210319.81039</v>
      </c>
      <c r="V67" s="66">
        <v>112412.3</v>
      </c>
      <c r="W67" s="67">
        <v>78315.199999999997</v>
      </c>
      <c r="X67" s="68">
        <f t="shared" si="40"/>
        <v>34097.100000000006</v>
      </c>
      <c r="Y67" s="66">
        <f>O67</f>
        <v>1639301.5474999999</v>
      </c>
      <c r="Z67" s="67">
        <f>P67</f>
        <v>1213949.5040000002</v>
      </c>
      <c r="AA67" s="68">
        <f t="shared" si="41"/>
        <v>425352.04349999968</v>
      </c>
      <c r="AB67" s="69">
        <f t="shared" si="8"/>
        <v>1.0747041807259741</v>
      </c>
    </row>
    <row r="68" spans="1:28" x14ac:dyDescent="0.25">
      <c r="A68" s="52"/>
      <c r="B68" s="65" t="s">
        <v>7</v>
      </c>
      <c r="C68" s="66"/>
      <c r="D68" s="67"/>
      <c r="E68" s="68"/>
      <c r="F68" s="66"/>
      <c r="G68" s="67"/>
      <c r="H68" s="68"/>
      <c r="I68" s="66"/>
      <c r="J68" s="67"/>
      <c r="K68" s="68"/>
      <c r="L68" s="66"/>
      <c r="M68" s="67"/>
      <c r="N68" s="68"/>
      <c r="O68" s="66"/>
      <c r="P68" s="67"/>
      <c r="Q68" s="68"/>
      <c r="R68" s="69"/>
      <c r="S68" s="66"/>
      <c r="T68" s="67"/>
      <c r="U68" s="68"/>
      <c r="V68" s="66"/>
      <c r="W68" s="67"/>
      <c r="X68" s="68"/>
      <c r="Y68" s="66"/>
      <c r="Z68" s="67"/>
      <c r="AA68" s="68"/>
      <c r="AB68" s="69"/>
    </row>
    <row r="69" spans="1:28" ht="25.5" x14ac:dyDescent="0.25">
      <c r="A69" s="52"/>
      <c r="B69" s="65" t="s">
        <v>96</v>
      </c>
      <c r="C69" s="66">
        <v>1370448.0370799999</v>
      </c>
      <c r="D69" s="67">
        <f>954644.9+35224</f>
        <v>989868.9</v>
      </c>
      <c r="E69" s="68">
        <f>C69-D69</f>
        <v>380579.1370799999</v>
      </c>
      <c r="F69" s="66">
        <f>689248.83901</f>
        <v>689248.83901</v>
      </c>
      <c r="G69" s="67">
        <f>482484.4+17612</f>
        <v>500096.4</v>
      </c>
      <c r="H69" s="68">
        <f>F69-G69</f>
        <v>189152.43900999997</v>
      </c>
      <c r="I69" s="66">
        <f>752958.8+35752.42499-F69</f>
        <v>99462.385980000021</v>
      </c>
      <c r="J69" s="67">
        <f>542863.7+17612-G69</f>
        <v>60379.29999999993</v>
      </c>
      <c r="K69" s="68">
        <f t="shared" si="36"/>
        <v>39083.085980000091</v>
      </c>
      <c r="L69" s="66">
        <v>1484618</v>
      </c>
      <c r="M69" s="67">
        <v>1083395</v>
      </c>
      <c r="N69" s="68">
        <f t="shared" si="37"/>
        <v>401223</v>
      </c>
      <c r="O69" s="66">
        <f>1514816.2+74790.4475</f>
        <v>1589606.6475</v>
      </c>
      <c r="P69" s="67">
        <f>1180619.8+5387.404</f>
        <v>1186007.2040000001</v>
      </c>
      <c r="Q69" s="68">
        <f t="shared" si="38"/>
        <v>403599.44349999982</v>
      </c>
      <c r="R69" s="69">
        <f t="shared" si="42"/>
        <v>1.0604875679645069</v>
      </c>
      <c r="S69" s="66">
        <f>754002+36975.61576</f>
        <v>790977.61575999996</v>
      </c>
      <c r="T69" s="67">
        <f>582360.2+2641.90727</f>
        <v>585002.10726999992</v>
      </c>
      <c r="U69" s="68">
        <f t="shared" si="39"/>
        <v>205975.50849000004</v>
      </c>
      <c r="V69" s="66">
        <v>110478.2</v>
      </c>
      <c r="W69" s="67">
        <v>78415.199999999997</v>
      </c>
      <c r="X69" s="68">
        <f t="shared" si="40"/>
        <v>32063</v>
      </c>
      <c r="Y69" s="66">
        <f t="shared" ref="Y69:Y78" si="51">O69</f>
        <v>1589606.6475</v>
      </c>
      <c r="Z69" s="67">
        <f t="shared" ref="Z69:Z78" si="52">P69</f>
        <v>1186007.2040000001</v>
      </c>
      <c r="AA69" s="68">
        <f t="shared" si="41"/>
        <v>403599.44349999982</v>
      </c>
      <c r="AB69" s="69">
        <f t="shared" si="8"/>
        <v>1.0604875679645069</v>
      </c>
    </row>
    <row r="70" spans="1:28" x14ac:dyDescent="0.25">
      <c r="A70" s="52" t="s">
        <v>97</v>
      </c>
      <c r="B70" s="65" t="s">
        <v>98</v>
      </c>
      <c r="C70" s="66">
        <v>27583.084729999999</v>
      </c>
      <c r="D70" s="67">
        <f>26815.5</f>
        <v>26815.5</v>
      </c>
      <c r="E70" s="68">
        <f t="shared" ref="E70:E74" si="53">C70-D70</f>
        <v>767.58472999999867</v>
      </c>
      <c r="F70" s="66">
        <f>9995.4</f>
        <v>9995.4</v>
      </c>
      <c r="G70" s="67">
        <f>9552.4</f>
        <v>9552.4</v>
      </c>
      <c r="H70" s="68">
        <f t="shared" ref="H70:H78" si="54">F70-G70</f>
        <v>443</v>
      </c>
      <c r="I70" s="66">
        <f>9998.3-F70</f>
        <v>2.8999999999996362</v>
      </c>
      <c r="J70" s="67">
        <f>9552.4-G70</f>
        <v>0</v>
      </c>
      <c r="K70" s="68">
        <f t="shared" si="36"/>
        <v>2.8999999999996362</v>
      </c>
      <c r="L70" s="66">
        <v>29236</v>
      </c>
      <c r="M70" s="67">
        <v>28424</v>
      </c>
      <c r="N70" s="68">
        <f t="shared" si="37"/>
        <v>812</v>
      </c>
      <c r="O70" s="66">
        <f>2704.8+4.99</f>
        <v>2709.79</v>
      </c>
      <c r="P70" s="67">
        <f>2536.2</f>
        <v>2536.1999999999998</v>
      </c>
      <c r="Q70" s="68">
        <f t="shared" si="38"/>
        <v>173.59000000000015</v>
      </c>
      <c r="R70" s="69">
        <f t="shared" si="42"/>
        <v>0.22615092929219741</v>
      </c>
      <c r="S70" s="66">
        <f>1715.1+4.99</f>
        <v>1720.09</v>
      </c>
      <c r="T70" s="67">
        <f>1643.3</f>
        <v>1643.3</v>
      </c>
      <c r="U70" s="68">
        <f t="shared" si="39"/>
        <v>76.789999999999964</v>
      </c>
      <c r="V70" s="66">
        <v>286</v>
      </c>
      <c r="W70" s="67">
        <v>257.39999999999998</v>
      </c>
      <c r="X70" s="68">
        <f t="shared" si="40"/>
        <v>28.600000000000023</v>
      </c>
      <c r="Y70" s="66">
        <f t="shared" si="51"/>
        <v>2709.79</v>
      </c>
      <c r="Z70" s="67">
        <f t="shared" si="52"/>
        <v>2536.1999999999998</v>
      </c>
      <c r="AA70" s="68">
        <f t="shared" si="41"/>
        <v>173.59000000000015</v>
      </c>
      <c r="AB70" s="69">
        <f t="shared" si="8"/>
        <v>0.22615092929219741</v>
      </c>
    </row>
    <row r="71" spans="1:28" x14ac:dyDescent="0.25">
      <c r="A71" s="52" t="s">
        <v>99</v>
      </c>
      <c r="B71" s="65" t="s">
        <v>100</v>
      </c>
      <c r="C71" s="66">
        <v>17484.964240000001</v>
      </c>
      <c r="D71" s="67"/>
      <c r="E71" s="68">
        <f t="shared" si="53"/>
        <v>17484.964240000001</v>
      </c>
      <c r="F71" s="66">
        <f>4222.6+465.457</f>
        <v>4688.0570000000007</v>
      </c>
      <c r="G71" s="67">
        <v>0</v>
      </c>
      <c r="H71" s="68">
        <f t="shared" si="54"/>
        <v>4688.0570000000007</v>
      </c>
      <c r="I71" s="66">
        <f>8296.3+687.061-F71</f>
        <v>4295.3039999999983</v>
      </c>
      <c r="J71" s="67">
        <v>0</v>
      </c>
      <c r="K71" s="68">
        <f t="shared" si="36"/>
        <v>4295.3039999999983</v>
      </c>
      <c r="L71" s="66">
        <v>17952</v>
      </c>
      <c r="M71" s="67"/>
      <c r="N71" s="68">
        <f t="shared" si="37"/>
        <v>17952</v>
      </c>
      <c r="O71" s="66">
        <f>17095.8+1221.44368</f>
        <v>18317.24368</v>
      </c>
      <c r="P71" s="67"/>
      <c r="Q71" s="68">
        <f t="shared" si="38"/>
        <v>18317.24368</v>
      </c>
      <c r="R71" s="69">
        <f t="shared" si="42"/>
        <v>1.0475997221713504</v>
      </c>
      <c r="S71" s="66">
        <f>4226.5+207.81072</f>
        <v>4434.3107200000004</v>
      </c>
      <c r="T71" s="67"/>
      <c r="U71" s="68">
        <f t="shared" si="39"/>
        <v>4434.3107200000004</v>
      </c>
      <c r="V71" s="66">
        <v>7452</v>
      </c>
      <c r="W71" s="67"/>
      <c r="X71" s="68">
        <f t="shared" si="40"/>
        <v>7452</v>
      </c>
      <c r="Y71" s="66">
        <f t="shared" si="51"/>
        <v>18317.24368</v>
      </c>
      <c r="Z71" s="67">
        <f t="shared" si="52"/>
        <v>0</v>
      </c>
      <c r="AA71" s="68">
        <f t="shared" si="41"/>
        <v>18317.24368</v>
      </c>
      <c r="AB71" s="69">
        <f t="shared" si="8"/>
        <v>1.0475997221713504</v>
      </c>
    </row>
    <row r="72" spans="1:28" x14ac:dyDescent="0.25">
      <c r="A72" s="52" t="s">
        <v>101</v>
      </c>
      <c r="B72" s="65" t="s">
        <v>102</v>
      </c>
      <c r="C72" s="66"/>
      <c r="D72" s="67"/>
      <c r="E72" s="68">
        <f t="shared" si="53"/>
        <v>0</v>
      </c>
      <c r="F72" s="66"/>
      <c r="G72" s="67"/>
      <c r="H72" s="68">
        <f t="shared" si="54"/>
        <v>0</v>
      </c>
      <c r="I72" s="66"/>
      <c r="J72" s="67"/>
      <c r="K72" s="68">
        <f t="shared" si="36"/>
        <v>0</v>
      </c>
      <c r="L72" s="66"/>
      <c r="M72" s="67"/>
      <c r="N72" s="68">
        <f t="shared" si="37"/>
        <v>0</v>
      </c>
      <c r="O72" s="66"/>
      <c r="P72" s="67"/>
      <c r="Q72" s="68">
        <f t="shared" si="38"/>
        <v>0</v>
      </c>
      <c r="R72" s="69" t="e">
        <f t="shared" si="42"/>
        <v>#DIV/0!</v>
      </c>
      <c r="S72" s="66"/>
      <c r="T72" s="67"/>
      <c r="U72" s="68">
        <f t="shared" si="39"/>
        <v>0</v>
      </c>
      <c r="V72" s="66"/>
      <c r="W72" s="67"/>
      <c r="X72" s="68">
        <f t="shared" si="40"/>
        <v>0</v>
      </c>
      <c r="Y72" s="66"/>
      <c r="Z72" s="67"/>
      <c r="AA72" s="68">
        <f t="shared" si="41"/>
        <v>0</v>
      </c>
      <c r="AB72" s="69" t="e">
        <f t="shared" si="8"/>
        <v>#DIV/0!</v>
      </c>
    </row>
    <row r="73" spans="1:28" ht="25.5" x14ac:dyDescent="0.25">
      <c r="A73" s="52" t="s">
        <v>103</v>
      </c>
      <c r="B73" s="65" t="s">
        <v>104</v>
      </c>
      <c r="C73" s="66">
        <v>2220</v>
      </c>
      <c r="D73" s="67">
        <v>1995</v>
      </c>
      <c r="E73" s="68">
        <f t="shared" si="53"/>
        <v>225</v>
      </c>
      <c r="F73" s="66"/>
      <c r="G73" s="67"/>
      <c r="H73" s="68">
        <f t="shared" si="54"/>
        <v>0</v>
      </c>
      <c r="I73" s="66">
        <f>2100-F73</f>
        <v>2100</v>
      </c>
      <c r="J73" s="67">
        <f>2100-G73</f>
        <v>2100</v>
      </c>
      <c r="K73" s="68">
        <f t="shared" si="36"/>
        <v>0</v>
      </c>
      <c r="L73" s="66">
        <v>2226</v>
      </c>
      <c r="M73" s="67">
        <v>2115</v>
      </c>
      <c r="N73" s="68">
        <f t="shared" si="37"/>
        <v>111</v>
      </c>
      <c r="O73" s="66">
        <f>20377.7</f>
        <v>20377.7</v>
      </c>
      <c r="P73" s="67">
        <f>7588.3</f>
        <v>7588.3</v>
      </c>
      <c r="Q73" s="68">
        <f t="shared" si="38"/>
        <v>12789.400000000001</v>
      </c>
      <c r="R73" s="69">
        <f t="shared" si="42"/>
        <v>56.841777777777786</v>
      </c>
      <c r="S73" s="66">
        <f>4668.5</f>
        <v>4668.5</v>
      </c>
      <c r="T73" s="67">
        <f>2268.1</f>
        <v>2268.1</v>
      </c>
      <c r="U73" s="68">
        <f t="shared" si="39"/>
        <v>2400.4</v>
      </c>
      <c r="V73" s="66">
        <v>2589</v>
      </c>
      <c r="W73" s="67"/>
      <c r="X73" s="68">
        <f t="shared" si="40"/>
        <v>2589</v>
      </c>
      <c r="Y73" s="66">
        <f t="shared" si="51"/>
        <v>20377.7</v>
      </c>
      <c r="Z73" s="67">
        <f t="shared" si="52"/>
        <v>7588.3</v>
      </c>
      <c r="AA73" s="68">
        <f t="shared" si="41"/>
        <v>12789.400000000001</v>
      </c>
      <c r="AB73" s="69">
        <f t="shared" si="8"/>
        <v>56.841777777777786</v>
      </c>
    </row>
    <row r="74" spans="1:28" x14ac:dyDescent="0.25">
      <c r="A74" s="52" t="s">
        <v>209</v>
      </c>
      <c r="B74" s="65" t="s">
        <v>105</v>
      </c>
      <c r="C74" s="66">
        <v>620125.40263999999</v>
      </c>
      <c r="D74" s="67">
        <f>121216.1+70249.88832</f>
        <v>191465.98832</v>
      </c>
      <c r="E74" s="68">
        <f t="shared" si="53"/>
        <v>428659.41431999998</v>
      </c>
      <c r="F74" s="66">
        <f>43443.56339+204015.4</f>
        <v>247458.96338999999</v>
      </c>
      <c r="G74" s="67">
        <f>33824.5+17600.31292</f>
        <v>51424.812919999997</v>
      </c>
      <c r="H74" s="68">
        <f t="shared" si="54"/>
        <v>196034.15046999999</v>
      </c>
      <c r="I74" s="66">
        <f>233625.2+48089.87245-F74</f>
        <v>34256.109060000046</v>
      </c>
      <c r="J74" s="67">
        <f>47140.7+34333.24456-G74</f>
        <v>30049.131640000007</v>
      </c>
      <c r="K74" s="68">
        <f t="shared" si="36"/>
        <v>4206.9774200000393</v>
      </c>
      <c r="L74" s="66">
        <v>581797</v>
      </c>
      <c r="M74" s="67">
        <v>146150</v>
      </c>
      <c r="N74" s="68">
        <f t="shared" si="37"/>
        <v>435647</v>
      </c>
      <c r="O74" s="66">
        <f>638181.1+103754.972</f>
        <v>741936.07199999993</v>
      </c>
      <c r="P74" s="67">
        <f>206895.5</f>
        <v>206895.5</v>
      </c>
      <c r="Q74" s="68">
        <f t="shared" si="38"/>
        <v>535040.57199999993</v>
      </c>
      <c r="R74" s="69">
        <f t="shared" si="42"/>
        <v>1.2481717515728816</v>
      </c>
      <c r="S74" s="66">
        <f>229976.6+37140.36659</f>
        <v>267116.96659000003</v>
      </c>
      <c r="T74" s="67">
        <f>59692.6</f>
        <v>59692.6</v>
      </c>
      <c r="U74" s="68">
        <f t="shared" si="39"/>
        <v>207424.36659000002</v>
      </c>
      <c r="V74" s="66">
        <v>41023.599999999999</v>
      </c>
      <c r="W74" s="67">
        <v>28956.3</v>
      </c>
      <c r="X74" s="68">
        <f t="shared" si="40"/>
        <v>12067.3</v>
      </c>
      <c r="Y74" s="66">
        <f t="shared" si="51"/>
        <v>741936.07199999993</v>
      </c>
      <c r="Z74" s="67">
        <f t="shared" si="52"/>
        <v>206895.5</v>
      </c>
      <c r="AA74" s="68">
        <f t="shared" si="41"/>
        <v>535040.57199999993</v>
      </c>
      <c r="AB74" s="69">
        <f t="shared" si="8"/>
        <v>1.2481717515728816</v>
      </c>
    </row>
    <row r="75" spans="1:28" x14ac:dyDescent="0.25">
      <c r="A75" s="52"/>
      <c r="B75" s="65" t="s">
        <v>7</v>
      </c>
      <c r="C75" s="66"/>
      <c r="D75" s="67"/>
      <c r="E75" s="68"/>
      <c r="F75" s="66"/>
      <c r="G75" s="67"/>
      <c r="H75" s="68"/>
      <c r="I75" s="66"/>
      <c r="J75" s="67"/>
      <c r="K75" s="68"/>
      <c r="L75" s="66"/>
      <c r="M75" s="67"/>
      <c r="N75" s="68"/>
      <c r="O75" s="66"/>
      <c r="P75" s="67"/>
      <c r="Q75" s="68"/>
      <c r="R75" s="69"/>
      <c r="S75" s="66"/>
      <c r="T75" s="67"/>
      <c r="U75" s="68"/>
      <c r="V75" s="66"/>
      <c r="W75" s="67"/>
      <c r="X75" s="68"/>
      <c r="Y75" s="66"/>
      <c r="Z75" s="67"/>
      <c r="AA75" s="68"/>
      <c r="AB75" s="69"/>
    </row>
    <row r="76" spans="1:28" ht="25.5" x14ac:dyDescent="0.25">
      <c r="A76" s="52"/>
      <c r="B76" s="65" t="s">
        <v>106</v>
      </c>
      <c r="C76" s="66">
        <f>113347.8+13185.41666</f>
        <v>126533.21666000001</v>
      </c>
      <c r="D76" s="67"/>
      <c r="E76" s="68">
        <f t="shared" ref="E76:E78" si="55">C76-D76</f>
        <v>126533.21666000001</v>
      </c>
      <c r="F76" s="66">
        <f>7125.65217+70366.1</f>
        <v>77491.752170000007</v>
      </c>
      <c r="G76" s="67">
        <v>0</v>
      </c>
      <c r="H76" s="68">
        <f t="shared" si="54"/>
        <v>77491.752170000007</v>
      </c>
      <c r="I76" s="66">
        <f>74105.8+7421.05687-F76</f>
        <v>4035.1046999999962</v>
      </c>
      <c r="J76" s="67">
        <v>0</v>
      </c>
      <c r="K76" s="68">
        <f t="shared" ref="K76:K78" si="56">I76-J76</f>
        <v>4035.1046999999962</v>
      </c>
      <c r="L76" s="66">
        <v>136571</v>
      </c>
      <c r="M76" s="67">
        <v>0</v>
      </c>
      <c r="N76" s="68">
        <f t="shared" ref="N76:N78" si="57">L76-M76</f>
        <v>136571</v>
      </c>
      <c r="O76" s="66">
        <f>151133.9+20250.14231</f>
        <v>171384.04230999999</v>
      </c>
      <c r="P76" s="67"/>
      <c r="Q76" s="68">
        <f t="shared" ref="Q76:Q78" si="58">O76-P76</f>
        <v>171384.04230999999</v>
      </c>
      <c r="R76" s="69">
        <f t="shared" si="42"/>
        <v>1.3544589067905861</v>
      </c>
      <c r="S76" s="66">
        <f>79722.6+9477.23975</f>
        <v>89199.839750000014</v>
      </c>
      <c r="T76" s="67">
        <v>0</v>
      </c>
      <c r="U76" s="68">
        <f t="shared" ref="U76:U78" si="59">S76-T76</f>
        <v>89199.839750000014</v>
      </c>
      <c r="V76" s="66">
        <v>4745.6000000000004</v>
      </c>
      <c r="W76" s="67">
        <v>0</v>
      </c>
      <c r="X76" s="68">
        <f t="shared" ref="X76:X78" si="60">V76-W76</f>
        <v>4745.6000000000004</v>
      </c>
      <c r="Y76" s="66">
        <f t="shared" si="51"/>
        <v>171384.04230999999</v>
      </c>
      <c r="Z76" s="67"/>
      <c r="AA76" s="68">
        <f t="shared" ref="AA76:AA78" si="61">Y76-Z76</f>
        <v>171384.04230999999</v>
      </c>
      <c r="AB76" s="69">
        <f t="shared" si="8"/>
        <v>1.3544589067905861</v>
      </c>
    </row>
    <row r="77" spans="1:28" ht="25.5" x14ac:dyDescent="0.25">
      <c r="A77" s="52"/>
      <c r="B77" s="65" t="s">
        <v>83</v>
      </c>
      <c r="C77" s="66">
        <f>136670.5+38791.94162</f>
        <v>175462.44162</v>
      </c>
      <c r="D77" s="67">
        <f>38877+34142.8477</f>
        <v>73019.847699999998</v>
      </c>
      <c r="E77" s="68">
        <f t="shared" si="55"/>
        <v>102442.59392</v>
      </c>
      <c r="F77" s="66">
        <f>30098.5+3547.51335</f>
        <v>33646.013350000001</v>
      </c>
      <c r="G77" s="67">
        <f>5318.6+2867.58682</f>
        <v>8186.1868200000008</v>
      </c>
      <c r="H77" s="68">
        <f t="shared" si="54"/>
        <v>25459.826529999998</v>
      </c>
      <c r="I77" s="66">
        <f>38962.5+5828.61597-F77</f>
        <v>11145.102619999998</v>
      </c>
      <c r="J77" s="67">
        <f>10466.8+4908.5457-G77</f>
        <v>7189.1588799999972</v>
      </c>
      <c r="K77" s="68">
        <f t="shared" si="56"/>
        <v>3955.9437400000006</v>
      </c>
      <c r="L77" s="66">
        <v>149664</v>
      </c>
      <c r="M77" s="67">
        <v>81622</v>
      </c>
      <c r="N77" s="68">
        <f t="shared" si="57"/>
        <v>68042</v>
      </c>
      <c r="O77" s="66">
        <f>151845.3+19445.40982</f>
        <v>171290.70981999999</v>
      </c>
      <c r="P77" s="67">
        <f>17334.4</f>
        <v>17334.400000000001</v>
      </c>
      <c r="Q77" s="68">
        <f t="shared" si="58"/>
        <v>153956.30981999999</v>
      </c>
      <c r="R77" s="69">
        <f t="shared" si="42"/>
        <v>1.5028544663778072</v>
      </c>
      <c r="S77" s="66">
        <f>39950.7+1696.66886</f>
        <v>41647.368859999995</v>
      </c>
      <c r="T77" s="67">
        <f>3049.5</f>
        <v>3049.5</v>
      </c>
      <c r="U77" s="68">
        <f t="shared" si="59"/>
        <v>38597.868859999995</v>
      </c>
      <c r="V77" s="66">
        <v>24112.3</v>
      </c>
      <c r="W77" s="67">
        <v>7452.3</v>
      </c>
      <c r="X77" s="68">
        <f t="shared" si="60"/>
        <v>16660</v>
      </c>
      <c r="Y77" s="66">
        <f t="shared" si="51"/>
        <v>171290.70981999999</v>
      </c>
      <c r="Z77" s="67">
        <f t="shared" si="52"/>
        <v>17334.400000000001</v>
      </c>
      <c r="AA77" s="68">
        <f t="shared" si="61"/>
        <v>153956.30981999999</v>
      </c>
      <c r="AB77" s="69">
        <f t="shared" si="8"/>
        <v>1.5028544663778072</v>
      </c>
    </row>
    <row r="78" spans="1:28" ht="25.5" x14ac:dyDescent="0.25">
      <c r="A78" s="52"/>
      <c r="B78" s="65" t="s">
        <v>84</v>
      </c>
      <c r="C78" s="66">
        <f>89885.5+12782.34959</f>
        <v>102667.84959</v>
      </c>
      <c r="D78" s="67">
        <f>3941.7+6286.00248</f>
        <v>10227.70248</v>
      </c>
      <c r="E78" s="68">
        <f t="shared" si="55"/>
        <v>92440.147109999991</v>
      </c>
      <c r="F78" s="66">
        <f>45074.6+781.34292</f>
        <v>45855.942920000001</v>
      </c>
      <c r="G78" s="67">
        <f>11811.7</f>
        <v>11811.7</v>
      </c>
      <c r="H78" s="68">
        <f t="shared" si="54"/>
        <v>34044.242920000004</v>
      </c>
      <c r="I78" s="66">
        <f>51220.8+781.34292-F78</f>
        <v>6146.2000000000044</v>
      </c>
      <c r="J78" s="67">
        <f>16673.7-G78</f>
        <v>4862</v>
      </c>
      <c r="K78" s="68">
        <f t="shared" si="56"/>
        <v>1284.2000000000044</v>
      </c>
      <c r="L78" s="66">
        <v>95279</v>
      </c>
      <c r="M78" s="67">
        <v>10600</v>
      </c>
      <c r="N78" s="68">
        <f t="shared" si="57"/>
        <v>84679</v>
      </c>
      <c r="O78" s="66">
        <f>88863+12076.65665</f>
        <v>100939.65665</v>
      </c>
      <c r="P78" s="67">
        <f>72835.3</f>
        <v>72835.3</v>
      </c>
      <c r="Q78" s="68">
        <f t="shared" si="58"/>
        <v>28104.356650000002</v>
      </c>
      <c r="R78" s="69">
        <f t="shared" si="42"/>
        <v>0.30402760627973652</v>
      </c>
      <c r="S78" s="66">
        <f>24978.6+6605.142</f>
        <v>31583.741999999998</v>
      </c>
      <c r="T78" s="67">
        <f>19658.6</f>
        <v>19658.599999999999</v>
      </c>
      <c r="U78" s="68">
        <f t="shared" si="59"/>
        <v>11925.142</v>
      </c>
      <c r="V78" s="66">
        <v>8456.2999999999993</v>
      </c>
      <c r="W78" s="67">
        <v>6512.3</v>
      </c>
      <c r="X78" s="68">
        <f t="shared" si="60"/>
        <v>1943.9999999999991</v>
      </c>
      <c r="Y78" s="66">
        <f t="shared" si="51"/>
        <v>100939.65665</v>
      </c>
      <c r="Z78" s="67">
        <f t="shared" si="52"/>
        <v>72835.3</v>
      </c>
      <c r="AA78" s="68">
        <f t="shared" si="61"/>
        <v>28104.356650000002</v>
      </c>
      <c r="AB78" s="69">
        <f t="shared" si="8"/>
        <v>0.30402760627973652</v>
      </c>
    </row>
    <row r="79" spans="1:28" ht="25.5" x14ac:dyDescent="0.25">
      <c r="A79" s="24" t="s">
        <v>107</v>
      </c>
      <c r="B79" s="32" t="s">
        <v>108</v>
      </c>
      <c r="C79" s="26">
        <v>103.36121</v>
      </c>
      <c r="D79" s="70"/>
      <c r="E79" s="39">
        <f t="shared" si="0"/>
        <v>103.36121</v>
      </c>
      <c r="F79" s="26"/>
      <c r="G79" s="70"/>
      <c r="H79" s="39">
        <f t="shared" si="35"/>
        <v>0</v>
      </c>
      <c r="I79" s="26">
        <v>0</v>
      </c>
      <c r="J79" s="70"/>
      <c r="K79" s="39">
        <f t="shared" si="36"/>
        <v>0</v>
      </c>
      <c r="L79" s="26">
        <v>225.3</v>
      </c>
      <c r="M79" s="70"/>
      <c r="N79" s="39">
        <f t="shared" si="37"/>
        <v>225.3</v>
      </c>
      <c r="O79" s="26">
        <v>225.3</v>
      </c>
      <c r="P79" s="70"/>
      <c r="Q79" s="39">
        <f t="shared" si="38"/>
        <v>225.3</v>
      </c>
      <c r="R79" s="51">
        <f>Q79/E79</f>
        <v>2.1797345445162648</v>
      </c>
      <c r="S79" s="26">
        <v>0</v>
      </c>
      <c r="T79" s="70"/>
      <c r="U79" s="39">
        <f t="shared" si="39"/>
        <v>0</v>
      </c>
      <c r="V79" s="26">
        <v>1.9870000000000001</v>
      </c>
      <c r="W79" s="70"/>
      <c r="X79" s="39">
        <f t="shared" si="40"/>
        <v>1.9870000000000001</v>
      </c>
      <c r="Y79" s="26">
        <f>O79</f>
        <v>225.3</v>
      </c>
      <c r="Z79" s="70"/>
      <c r="AA79" s="39">
        <f t="shared" si="41"/>
        <v>225.3</v>
      </c>
      <c r="AB79" s="51">
        <f t="shared" si="8"/>
        <v>2.1797345445162648</v>
      </c>
    </row>
    <row r="80" spans="1:28" ht="25.5" x14ac:dyDescent="0.25">
      <c r="A80" s="24" t="s">
        <v>109</v>
      </c>
      <c r="B80" s="32" t="s">
        <v>110</v>
      </c>
      <c r="C80" s="26">
        <f>C82+C83+C84+C85+659.2</f>
        <v>18038.02967</v>
      </c>
      <c r="D80" s="26">
        <f>D82+D83+D84+D85</f>
        <v>3321.84989</v>
      </c>
      <c r="E80" s="39">
        <f t="shared" si="0"/>
        <v>14716.17978</v>
      </c>
      <c r="F80" s="26">
        <f>F82+F83+F84+F85</f>
        <v>817.99769000000003</v>
      </c>
      <c r="G80" s="26">
        <f>G82+G83+G84+G85</f>
        <v>600.21</v>
      </c>
      <c r="H80" s="39">
        <f t="shared" si="35"/>
        <v>217.78769</v>
      </c>
      <c r="I80" s="26">
        <f>I82+I83+I84+I85+659.2</f>
        <v>1824.4778899999999</v>
      </c>
      <c r="J80" s="59">
        <f>J82+J83+J84</f>
        <v>1154.1398899999999</v>
      </c>
      <c r="K80" s="39">
        <f t="shared" si="36"/>
        <v>670.33799999999997</v>
      </c>
      <c r="L80" s="26">
        <f>L82+L83+L84+L85</f>
        <v>24238.799999999999</v>
      </c>
      <c r="M80" s="26">
        <f>M82+M83+M84+M85</f>
        <v>4031.1</v>
      </c>
      <c r="N80" s="39">
        <f t="shared" si="37"/>
        <v>20207.7</v>
      </c>
      <c r="O80" s="26">
        <f>O82+O83+O84+O85</f>
        <v>18584.53498</v>
      </c>
      <c r="P80" s="26">
        <f>P82+P83+P84+P85</f>
        <v>4031.1</v>
      </c>
      <c r="Q80" s="39">
        <f t="shared" si="38"/>
        <v>14553.43498</v>
      </c>
      <c r="R80" s="51">
        <f t="shared" ref="R80:R103" si="62">Q80/E80</f>
        <v>0.98894109732057101</v>
      </c>
      <c r="S80" s="26">
        <f>S82+S83+S84+S85</f>
        <v>1004.60538</v>
      </c>
      <c r="T80" s="26">
        <f>T82+T83+T84+T85</f>
        <v>0</v>
      </c>
      <c r="U80" s="39">
        <f t="shared" si="39"/>
        <v>1004.60538</v>
      </c>
      <c r="V80" s="26">
        <f>V82+V84+V83+V85</f>
        <v>412.3</v>
      </c>
      <c r="W80" s="26">
        <f>W82+W84+W83+W85</f>
        <v>0</v>
      </c>
      <c r="X80" s="39">
        <f t="shared" si="40"/>
        <v>412.3</v>
      </c>
      <c r="Y80" s="26">
        <f>O80</f>
        <v>18584.53498</v>
      </c>
      <c r="Z80" s="70">
        <f>P80</f>
        <v>4031.1</v>
      </c>
      <c r="AA80" s="39">
        <f t="shared" si="41"/>
        <v>14553.43498</v>
      </c>
      <c r="AB80" s="51">
        <f t="shared" si="8"/>
        <v>0.98894109732057101</v>
      </c>
    </row>
    <row r="81" spans="1:28" x14ac:dyDescent="0.25">
      <c r="A81" s="24"/>
      <c r="B81" s="32" t="s">
        <v>17</v>
      </c>
      <c r="C81" s="26"/>
      <c r="D81" s="59"/>
      <c r="E81" s="39"/>
      <c r="F81" s="26"/>
      <c r="G81" s="59"/>
      <c r="H81" s="39"/>
      <c r="I81" s="26"/>
      <c r="J81" s="59"/>
      <c r="K81" s="39"/>
      <c r="L81" s="26"/>
      <c r="M81" s="59">
        <v>74.2</v>
      </c>
      <c r="N81" s="39"/>
      <c r="O81" s="26"/>
      <c r="P81" s="59"/>
      <c r="Q81" s="39"/>
      <c r="R81" s="51"/>
      <c r="S81" s="26"/>
      <c r="T81" s="59"/>
      <c r="U81" s="39"/>
      <c r="V81" s="26"/>
      <c r="W81" s="59"/>
      <c r="X81" s="39"/>
      <c r="Y81" s="26"/>
      <c r="Z81" s="70"/>
      <c r="AA81" s="39"/>
      <c r="AB81" s="51"/>
    </row>
    <row r="82" spans="1:28" ht="76.5" x14ac:dyDescent="0.25">
      <c r="A82" s="24"/>
      <c r="B82" s="32" t="s">
        <v>111</v>
      </c>
      <c r="C82" s="26">
        <f>34239.59764-C101</f>
        <v>14794.12025</v>
      </c>
      <c r="D82" s="59">
        <f>1567.5-D101</f>
        <v>1567.5</v>
      </c>
      <c r="E82" s="39">
        <f t="shared" si="0"/>
        <v>13226.62025</v>
      </c>
      <c r="F82" s="26">
        <v>0</v>
      </c>
      <c r="G82" s="59"/>
      <c r="H82" s="39">
        <f t="shared" si="35"/>
        <v>0</v>
      </c>
      <c r="I82" s="26">
        <f>0-F82</f>
        <v>0</v>
      </c>
      <c r="J82" s="59"/>
      <c r="K82" s="39">
        <f t="shared" si="36"/>
        <v>0</v>
      </c>
      <c r="L82" s="26">
        <v>174.2</v>
      </c>
      <c r="M82" s="59">
        <v>74.2</v>
      </c>
      <c r="N82" s="39">
        <f t="shared" si="37"/>
        <v>99.999999999999986</v>
      </c>
      <c r="O82" s="26">
        <f>174.2-O101</f>
        <v>174.2</v>
      </c>
      <c r="P82" s="59">
        <v>74.2</v>
      </c>
      <c r="Q82" s="39">
        <f t="shared" si="38"/>
        <v>99.999999999999986</v>
      </c>
      <c r="R82" s="51">
        <f t="shared" si="62"/>
        <v>7.5605104032528628E-3</v>
      </c>
      <c r="S82" s="26">
        <v>0</v>
      </c>
      <c r="T82" s="59">
        <v>0</v>
      </c>
      <c r="U82" s="39">
        <f t="shared" si="39"/>
        <v>0</v>
      </c>
      <c r="V82" s="26">
        <v>0</v>
      </c>
      <c r="W82" s="59"/>
      <c r="X82" s="39">
        <f t="shared" si="40"/>
        <v>0</v>
      </c>
      <c r="Y82" s="26">
        <f>O82</f>
        <v>174.2</v>
      </c>
      <c r="Z82" s="70">
        <f>P82</f>
        <v>74.2</v>
      </c>
      <c r="AA82" s="39">
        <f t="shared" si="41"/>
        <v>99.999999999999986</v>
      </c>
      <c r="AB82" s="51">
        <f t="shared" si="8"/>
        <v>7.5605104032528628E-3</v>
      </c>
    </row>
    <row r="83" spans="1:28" ht="25.5" x14ac:dyDescent="0.25">
      <c r="A83" s="24"/>
      <c r="B83" s="32" t="s">
        <v>112</v>
      </c>
      <c r="C83" s="26">
        <f>475.05475-C102</f>
        <v>325.05475000000001</v>
      </c>
      <c r="D83" s="59">
        <f>0</f>
        <v>0</v>
      </c>
      <c r="E83" s="39">
        <f t="shared" si="0"/>
        <v>325.05475000000001</v>
      </c>
      <c r="F83" s="26">
        <f>74.90516</f>
        <v>74.905159999999995</v>
      </c>
      <c r="G83" s="59"/>
      <c r="H83" s="39">
        <f t="shared" si="35"/>
        <v>74.905159999999995</v>
      </c>
      <c r="I83" s="26">
        <f>82.54316-F83</f>
        <v>7.6380000000000052</v>
      </c>
      <c r="J83" s="59"/>
      <c r="K83" s="39">
        <f t="shared" si="36"/>
        <v>7.6380000000000052</v>
      </c>
      <c r="L83" s="26"/>
      <c r="M83" s="59"/>
      <c r="N83" s="39">
        <f t="shared" si="37"/>
        <v>0</v>
      </c>
      <c r="O83" s="26">
        <f>248.98501-O102</f>
        <v>246.98500999999999</v>
      </c>
      <c r="P83" s="59"/>
      <c r="Q83" s="39">
        <f t="shared" si="38"/>
        <v>246.98500999999999</v>
      </c>
      <c r="R83" s="51">
        <f t="shared" si="62"/>
        <v>0.75982587548712943</v>
      </c>
      <c r="S83" s="26">
        <f>248.98501-S102</f>
        <v>246.98500999999999</v>
      </c>
      <c r="T83" s="59"/>
      <c r="U83" s="39">
        <f t="shared" si="39"/>
        <v>246.98500999999999</v>
      </c>
      <c r="V83" s="26"/>
      <c r="W83" s="59"/>
      <c r="X83" s="39">
        <f t="shared" si="40"/>
        <v>0</v>
      </c>
      <c r="Y83" s="26">
        <f t="shared" ref="Y83:Y85" si="63">O83</f>
        <v>246.98500999999999</v>
      </c>
      <c r="Z83" s="70"/>
      <c r="AA83" s="39">
        <f t="shared" si="41"/>
        <v>246.98500999999999</v>
      </c>
      <c r="AB83" s="51">
        <f t="shared" si="8"/>
        <v>0.75982587548712943</v>
      </c>
    </row>
    <row r="84" spans="1:28" ht="25.5" x14ac:dyDescent="0.25">
      <c r="A84" s="24"/>
      <c r="B84" s="32" t="s">
        <v>113</v>
      </c>
      <c r="C84" s="26">
        <f>2849.35958-C103</f>
        <v>2259.6546699999999</v>
      </c>
      <c r="D84" s="59">
        <f>1754.34989-D103</f>
        <v>1754.34989</v>
      </c>
      <c r="E84" s="39">
        <f t="shared" si="0"/>
        <v>505.30477999999994</v>
      </c>
      <c r="F84" s="26">
        <f>743.09253</f>
        <v>743.09253000000001</v>
      </c>
      <c r="G84" s="59">
        <f>600.21</f>
        <v>600.21</v>
      </c>
      <c r="H84" s="39">
        <f t="shared" si="35"/>
        <v>142.88252999999997</v>
      </c>
      <c r="I84" s="26">
        <f>1900.73242-F84</f>
        <v>1157.6398899999999</v>
      </c>
      <c r="J84" s="59">
        <f>1754.34989-G84</f>
        <v>1154.1398899999999</v>
      </c>
      <c r="K84" s="39">
        <f t="shared" si="36"/>
        <v>3.5</v>
      </c>
      <c r="L84" s="26">
        <v>4064.6</v>
      </c>
      <c r="M84" s="59">
        <v>3956.9</v>
      </c>
      <c r="N84" s="39">
        <f t="shared" si="37"/>
        <v>107.69999999999982</v>
      </c>
      <c r="O84" s="26">
        <f>5416.9394-O103</f>
        <v>4764.5203700000002</v>
      </c>
      <c r="P84" s="59">
        <v>3956.9</v>
      </c>
      <c r="Q84" s="39">
        <f t="shared" si="38"/>
        <v>807.62037000000009</v>
      </c>
      <c r="R84" s="51">
        <f t="shared" si="62"/>
        <v>1.5982836536792708</v>
      </c>
      <c r="S84" s="26">
        <f>897.69291-S103</f>
        <v>757.62036999999998</v>
      </c>
      <c r="T84" s="59">
        <v>0</v>
      </c>
      <c r="U84" s="39">
        <f t="shared" si="39"/>
        <v>757.62036999999998</v>
      </c>
      <c r="V84" s="26">
        <v>412.3</v>
      </c>
      <c r="W84" s="59">
        <v>0</v>
      </c>
      <c r="X84" s="39">
        <f t="shared" si="40"/>
        <v>412.3</v>
      </c>
      <c r="Y84" s="26">
        <f t="shared" si="63"/>
        <v>4764.5203700000002</v>
      </c>
      <c r="Z84" s="70">
        <f t="shared" ref="Z84" si="64">P84</f>
        <v>3956.9</v>
      </c>
      <c r="AA84" s="39">
        <f t="shared" si="41"/>
        <v>807.62037000000009</v>
      </c>
      <c r="AB84" s="51">
        <f t="shared" si="8"/>
        <v>1.5982836536792708</v>
      </c>
    </row>
    <row r="85" spans="1:28" x14ac:dyDescent="0.25">
      <c r="A85" s="24"/>
      <c r="B85" s="32" t="s">
        <v>114</v>
      </c>
      <c r="C85" s="26"/>
      <c r="D85" s="59"/>
      <c r="E85" s="39">
        <f t="shared" si="0"/>
        <v>0</v>
      </c>
      <c r="F85" s="26"/>
      <c r="G85" s="59"/>
      <c r="H85" s="39">
        <f t="shared" si="35"/>
        <v>0</v>
      </c>
      <c r="I85" s="26"/>
      <c r="J85" s="59"/>
      <c r="K85" s="39">
        <f t="shared" si="36"/>
        <v>0</v>
      </c>
      <c r="L85" s="26">
        <v>20000</v>
      </c>
      <c r="M85" s="59"/>
      <c r="N85" s="39">
        <f t="shared" si="37"/>
        <v>20000</v>
      </c>
      <c r="O85" s="26">
        <v>13398.829599999999</v>
      </c>
      <c r="P85" s="59"/>
      <c r="Q85" s="39">
        <f t="shared" si="38"/>
        <v>13398.829599999999</v>
      </c>
      <c r="R85" s="51" t="e">
        <f t="shared" si="62"/>
        <v>#DIV/0!</v>
      </c>
      <c r="S85" s="26"/>
      <c r="T85" s="59"/>
      <c r="U85" s="39">
        <f t="shared" si="39"/>
        <v>0</v>
      </c>
      <c r="V85" s="26">
        <v>0</v>
      </c>
      <c r="W85" s="59"/>
      <c r="X85" s="39">
        <f t="shared" si="40"/>
        <v>0</v>
      </c>
      <c r="Y85" s="26">
        <f t="shared" si="63"/>
        <v>13398.829599999999</v>
      </c>
      <c r="Z85" s="70"/>
      <c r="AA85" s="39">
        <f t="shared" si="41"/>
        <v>13398.829599999999</v>
      </c>
      <c r="AB85" s="51" t="e">
        <f t="shared" si="8"/>
        <v>#DIV/0!</v>
      </c>
    </row>
    <row r="86" spans="1:28" x14ac:dyDescent="0.25">
      <c r="A86" s="15" t="s">
        <v>115</v>
      </c>
      <c r="B86" s="71" t="s">
        <v>116</v>
      </c>
      <c r="C86" s="50">
        <f>C87+C91+C96+C97+C98+C99</f>
        <v>453424.80467999994</v>
      </c>
      <c r="D86" s="50">
        <f>D87+D91+D96+D97+D98+D99</f>
        <v>226478.71205999999</v>
      </c>
      <c r="E86" s="39">
        <f t="shared" si="0"/>
        <v>226946.09261999995</v>
      </c>
      <c r="F86" s="50">
        <f>F87+F91+F96+F97+F98+F99</f>
        <v>69836.145149999997</v>
      </c>
      <c r="G86" s="50">
        <f>G87+G91+G96+G97+G98+G99</f>
        <v>1049.9684999999999</v>
      </c>
      <c r="H86" s="39">
        <f t="shared" si="35"/>
        <v>68786.176649999994</v>
      </c>
      <c r="I86" s="50">
        <f>I87+I91+I96+I97+I98+I99</f>
        <v>68898.020879999996</v>
      </c>
      <c r="J86" s="50">
        <f>J87+J91+J96+J97+J98+J99</f>
        <v>52895.272499999999</v>
      </c>
      <c r="K86" s="39">
        <f t="shared" si="36"/>
        <v>16002.748379999997</v>
      </c>
      <c r="L86" s="50">
        <f>L87+L91+L96+L97+L98+L99</f>
        <v>259155.31667000003</v>
      </c>
      <c r="M86" s="50">
        <f>M87+M91+M96+M97+M98+M99</f>
        <v>52104.466699999997</v>
      </c>
      <c r="N86" s="39">
        <f t="shared" si="37"/>
        <v>207050.84997000004</v>
      </c>
      <c r="O86" s="50">
        <f>O87+O91+O96+O97+O98+O99</f>
        <v>305890.76352999994</v>
      </c>
      <c r="P86" s="50">
        <f>P87+P91+P96+P97+P98+P99</f>
        <v>96710.391329999999</v>
      </c>
      <c r="Q86" s="39">
        <f t="shared" si="38"/>
        <v>209180.37219999993</v>
      </c>
      <c r="R86" s="51">
        <f t="shared" si="62"/>
        <v>0.92171832431701273</v>
      </c>
      <c r="S86" s="50">
        <f>S87+S91+S96+S97+S98+S99</f>
        <v>68884.659870000003</v>
      </c>
      <c r="T86" s="50">
        <f>T87+T91+T96+T97+T98+T99</f>
        <v>19299.193159999999</v>
      </c>
      <c r="U86" s="39">
        <f t="shared" si="39"/>
        <v>49585.466710000008</v>
      </c>
      <c r="V86" s="50">
        <f>V87+V91+V96+V97+V98+V99</f>
        <v>51464.189999999995</v>
      </c>
      <c r="W86" s="50">
        <f>W87+W91+W96+W97+W98+W99</f>
        <v>38415.199999999997</v>
      </c>
      <c r="X86" s="39">
        <f t="shared" si="40"/>
        <v>13048.989999999998</v>
      </c>
      <c r="Y86" s="50">
        <f>Y87+Y91+Y96+Y97+Y98+Y99</f>
        <v>305890.76352999994</v>
      </c>
      <c r="Z86" s="50">
        <f>Z87+Z91+Z96+Z97+Z98+Z99</f>
        <v>96710.391329999999</v>
      </c>
      <c r="AA86" s="39">
        <f t="shared" si="41"/>
        <v>209180.37219999993</v>
      </c>
      <c r="AB86" s="51">
        <f t="shared" si="8"/>
        <v>0.92171832431701273</v>
      </c>
    </row>
    <row r="87" spans="1:28" ht="38.25" x14ac:dyDescent="0.25">
      <c r="A87" s="24" t="s">
        <v>117</v>
      </c>
      <c r="B87" s="32" t="s">
        <v>118</v>
      </c>
      <c r="C87" s="26">
        <f>C89+C90+96.84685+79.1169+226.52726+812.75543</f>
        <v>73344.141279999996</v>
      </c>
      <c r="D87" s="26">
        <f>D89+D90</f>
        <v>0</v>
      </c>
      <c r="E87" s="39">
        <f>C87-D87</f>
        <v>73344.141279999996</v>
      </c>
      <c r="F87" s="26">
        <f>2793.67508+46.917+739.33469+3503.47387+982.85775+3780.81065+122.7776+973.08265+13591.43208+395.08105+3745.73918</f>
        <v>30675.1816</v>
      </c>
      <c r="G87" s="26">
        <f>G89+G90</f>
        <v>0</v>
      </c>
      <c r="H87" s="39">
        <f t="shared" si="35"/>
        <v>30675.1816</v>
      </c>
      <c r="I87" s="26">
        <f>17101.02125+482.57704+4532.95629+4386.92148+145.7231+1224.34263+4328.96229+70.619+1110.07899+3428.84529+46.917+913.61664-F87</f>
        <v>7097.3993999999984</v>
      </c>
      <c r="J87" s="26">
        <f>J89+J90</f>
        <v>0</v>
      </c>
      <c r="K87" s="39">
        <f t="shared" si="36"/>
        <v>7097.3993999999984</v>
      </c>
      <c r="L87" s="26">
        <f>L89+L90+1597.6</f>
        <v>81416.700000000012</v>
      </c>
      <c r="M87" s="59">
        <f>M89+M90</f>
        <v>0</v>
      </c>
      <c r="N87" s="39">
        <f t="shared" si="37"/>
        <v>81416.700000000012</v>
      </c>
      <c r="O87" s="26">
        <f>O89+O90+105.9028+165+352.6+975</f>
        <v>80416.7</v>
      </c>
      <c r="P87" s="59"/>
      <c r="Q87" s="39">
        <f t="shared" si="38"/>
        <v>80416.7</v>
      </c>
      <c r="R87" s="51">
        <f t="shared" si="62"/>
        <v>1.0964297706206643</v>
      </c>
      <c r="S87" s="26">
        <f>S89+S90+105.9028+139.809+118.876+119.445</f>
        <v>35739.094770000003</v>
      </c>
      <c r="T87" s="59"/>
      <c r="U87" s="39">
        <f t="shared" si="39"/>
        <v>35739.094770000003</v>
      </c>
      <c r="V87" s="26">
        <f>V89+V90</f>
        <v>6266.3899999999994</v>
      </c>
      <c r="W87" s="26">
        <f>W89+W90</f>
        <v>0</v>
      </c>
      <c r="X87" s="39">
        <f t="shared" si="40"/>
        <v>6266.3899999999994</v>
      </c>
      <c r="Y87" s="26">
        <f>O87</f>
        <v>80416.7</v>
      </c>
      <c r="Z87" s="59"/>
      <c r="AA87" s="39">
        <f t="shared" si="41"/>
        <v>80416.7</v>
      </c>
      <c r="AB87" s="51">
        <f t="shared" si="8"/>
        <v>1.0964297706206643</v>
      </c>
    </row>
    <row r="88" spans="1:28" x14ac:dyDescent="0.25">
      <c r="A88" s="24"/>
      <c r="B88" s="32" t="s">
        <v>17</v>
      </c>
      <c r="C88" s="26"/>
      <c r="D88" s="59"/>
      <c r="E88" s="39"/>
      <c r="F88" s="26"/>
      <c r="G88" s="59"/>
      <c r="H88" s="39"/>
      <c r="I88" s="26"/>
      <c r="J88" s="59"/>
      <c r="K88" s="39"/>
      <c r="L88" s="26"/>
      <c r="M88" s="59"/>
      <c r="N88" s="39"/>
      <c r="O88" s="26"/>
      <c r="P88" s="59"/>
      <c r="Q88" s="39"/>
      <c r="R88" s="51"/>
      <c r="S88" s="26"/>
      <c r="T88" s="59"/>
      <c r="U88" s="39"/>
      <c r="V88" s="26"/>
      <c r="W88" s="59"/>
      <c r="X88" s="39"/>
      <c r="Y88" s="26"/>
      <c r="Z88" s="59"/>
      <c r="AA88" s="39"/>
      <c r="AB88" s="51"/>
    </row>
    <row r="89" spans="1:28" ht="25.5" x14ac:dyDescent="0.25">
      <c r="A89" s="24"/>
      <c r="B89" s="32" t="s">
        <v>119</v>
      </c>
      <c r="C89" s="26">
        <f>5882.59945+7914.98347+8341.43952+33351.95902</f>
        <v>55490.981460000003</v>
      </c>
      <c r="D89" s="59"/>
      <c r="E89" s="39">
        <f>C89-D89</f>
        <v>55490.981460000003</v>
      </c>
      <c r="F89" s="26">
        <f>2793.67508+3503.47387+3780.81065+13591.43208</f>
        <v>23669.391680000001</v>
      </c>
      <c r="G89" s="59"/>
      <c r="H89" s="39">
        <f>F89-G89</f>
        <v>23669.391680000001</v>
      </c>
      <c r="I89" s="26">
        <f>17101.02125+4386.92148+4328.96229+3428.84529-F89</f>
        <v>5576.3586300000024</v>
      </c>
      <c r="J89" s="59"/>
      <c r="K89" s="39">
        <f t="shared" si="36"/>
        <v>5576.3586300000024</v>
      </c>
      <c r="L89" s="26">
        <v>61316.51</v>
      </c>
      <c r="M89" s="59"/>
      <c r="N89" s="39">
        <f t="shared" si="37"/>
        <v>61316.51</v>
      </c>
      <c r="O89" s="26">
        <f>6834.3972+9338.71+8666+35476.5</f>
        <v>60315.607199999999</v>
      </c>
      <c r="P89" s="59"/>
      <c r="Q89" s="39">
        <f t="shared" si="38"/>
        <v>60315.607199999999</v>
      </c>
      <c r="R89" s="51">
        <f t="shared" si="62"/>
        <v>1.0869443216368009</v>
      </c>
      <c r="S89" s="26">
        <f>2148.82905+5149.61961+4162.26214+16310.42222</f>
        <v>27771.133020000001</v>
      </c>
      <c r="T89" s="59"/>
      <c r="U89" s="39">
        <f t="shared" si="39"/>
        <v>27771.133020000001</v>
      </c>
      <c r="V89" s="26">
        <v>4812.8999999999996</v>
      </c>
      <c r="W89" s="59"/>
      <c r="X89" s="39">
        <f t="shared" si="40"/>
        <v>4812.8999999999996</v>
      </c>
      <c r="Y89" s="26">
        <f t="shared" ref="Y89:Y99" si="65">O89</f>
        <v>60315.607199999999</v>
      </c>
      <c r="Z89" s="59"/>
      <c r="AA89" s="39">
        <f t="shared" si="41"/>
        <v>60315.607199999999</v>
      </c>
      <c r="AB89" s="51">
        <f t="shared" si="8"/>
        <v>1.0869443216368009</v>
      </c>
    </row>
    <row r="90" spans="1:28" ht="25.5" x14ac:dyDescent="0.25">
      <c r="A90" s="24"/>
      <c r="B90" s="32" t="s">
        <v>120</v>
      </c>
      <c r="C90" s="26">
        <f>1762.55291+2351.94651+2512.16484+10011.24912</f>
        <v>16637.913379999998</v>
      </c>
      <c r="D90" s="59"/>
      <c r="E90" s="39">
        <f>C90-D90</f>
        <v>16637.913379999998</v>
      </c>
      <c r="F90" s="26">
        <f>3745.73918+973.08265+982.85775+739.33469</f>
        <v>6441.0142699999997</v>
      </c>
      <c r="G90" s="59"/>
      <c r="H90" s="39">
        <f>F90-G90</f>
        <v>6441.0142699999997</v>
      </c>
      <c r="I90" s="26">
        <f>4532.95629+1224.34263+1110.07899+913.61664-F90</f>
        <v>1339.9802800000007</v>
      </c>
      <c r="J90" s="59"/>
      <c r="K90" s="39">
        <f t="shared" si="36"/>
        <v>1339.9802800000007</v>
      </c>
      <c r="L90" s="26">
        <v>18502.59</v>
      </c>
      <c r="M90" s="59"/>
      <c r="N90" s="39">
        <f t="shared" si="37"/>
        <v>18502.59</v>
      </c>
      <c r="O90" s="26">
        <f>2064.3+2820.29+2602.2+11015.8</f>
        <v>18502.59</v>
      </c>
      <c r="P90" s="59"/>
      <c r="Q90" s="39">
        <f t="shared" si="38"/>
        <v>18502.59</v>
      </c>
      <c r="R90" s="51">
        <f t="shared" si="62"/>
        <v>1.1120739468593148</v>
      </c>
      <c r="S90" s="26">
        <f>4427.78576+1105.27675+1375.77464+575.0918</f>
        <v>7483.9289499999995</v>
      </c>
      <c r="T90" s="59"/>
      <c r="U90" s="39">
        <f t="shared" si="39"/>
        <v>7483.9289499999995</v>
      </c>
      <c r="V90" s="26">
        <v>1453.49</v>
      </c>
      <c r="W90" s="59"/>
      <c r="X90" s="39">
        <f t="shared" si="40"/>
        <v>1453.49</v>
      </c>
      <c r="Y90" s="26">
        <f t="shared" si="65"/>
        <v>18502.59</v>
      </c>
      <c r="Z90" s="59"/>
      <c r="AA90" s="39">
        <f t="shared" si="41"/>
        <v>18502.59</v>
      </c>
      <c r="AB90" s="51">
        <f t="shared" si="8"/>
        <v>1.1120739468593148</v>
      </c>
    </row>
    <row r="91" spans="1:28" ht="25.5" x14ac:dyDescent="0.25">
      <c r="A91" s="24" t="s">
        <v>121</v>
      </c>
      <c r="B91" s="32" t="s">
        <v>122</v>
      </c>
      <c r="C91" s="26">
        <f>326153.8129+373.963+939.63711+31431.01316</f>
        <v>358898.42616999999</v>
      </c>
      <c r="D91" s="59">
        <v>226478.71205999999</v>
      </c>
      <c r="E91" s="39">
        <f t="shared" si="0"/>
        <v>132419.71411</v>
      </c>
      <c r="F91" s="26">
        <f>21036.88649</f>
        <v>21036.886490000001</v>
      </c>
      <c r="G91" s="59">
        <f>1049.9685</f>
        <v>1049.9684999999999</v>
      </c>
      <c r="H91" s="39">
        <f>F91-G91</f>
        <v>19986.917990000002</v>
      </c>
      <c r="I91" s="26">
        <f>82513.30463-F91</f>
        <v>61476.418139999994</v>
      </c>
      <c r="J91" s="59">
        <f>53945.241-G91</f>
        <v>52895.272499999999</v>
      </c>
      <c r="K91" s="39">
        <f t="shared" si="36"/>
        <v>8581.1456399999952</v>
      </c>
      <c r="L91" s="26">
        <v>162724.91667000001</v>
      </c>
      <c r="M91" s="59">
        <v>52104.466699999997</v>
      </c>
      <c r="N91" s="39">
        <f t="shared" si="37"/>
        <v>110620.44997000002</v>
      </c>
      <c r="O91" s="26">
        <f>199338.37965+2037.9+527.8+22915.56485</f>
        <v>224819.64449999997</v>
      </c>
      <c r="P91" s="59">
        <v>96710.391329999999</v>
      </c>
      <c r="Q91" s="39">
        <f t="shared" si="38"/>
        <v>128109.25316999997</v>
      </c>
      <c r="R91" s="51">
        <f t="shared" si="62"/>
        <v>0.96744849534700428</v>
      </c>
      <c r="S91" s="26">
        <f>10450.74748+293.914+1329.10975+20929.72133</f>
        <v>33003.492559999999</v>
      </c>
      <c r="T91" s="59">
        <v>19299.193159999999</v>
      </c>
      <c r="U91" s="39">
        <f t="shared" si="39"/>
        <v>13704.2994</v>
      </c>
      <c r="V91" s="26">
        <v>45123.6</v>
      </c>
      <c r="W91" s="59">
        <v>38415.199999999997</v>
      </c>
      <c r="X91" s="39">
        <f t="shared" si="40"/>
        <v>6708.4000000000015</v>
      </c>
      <c r="Y91" s="26">
        <f t="shared" si="65"/>
        <v>224819.64449999997</v>
      </c>
      <c r="Z91" s="59">
        <f t="shared" ref="Z91:Z94" si="66">P91</f>
        <v>96710.391329999999</v>
      </c>
      <c r="AA91" s="39">
        <f t="shared" si="41"/>
        <v>128109.25316999997</v>
      </c>
      <c r="AB91" s="51">
        <f t="shared" si="8"/>
        <v>0.96744849534700428</v>
      </c>
    </row>
    <row r="92" spans="1:28" x14ac:dyDescent="0.25">
      <c r="A92" s="52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1"/>
      <c r="S92" s="26"/>
      <c r="T92" s="26"/>
      <c r="U92" s="39"/>
      <c r="V92" s="26"/>
      <c r="W92" s="26"/>
      <c r="X92" s="39"/>
      <c r="Y92" s="26"/>
      <c r="Z92" s="59"/>
      <c r="AA92" s="39"/>
      <c r="AB92" s="51"/>
    </row>
    <row r="93" spans="1:28" ht="21" customHeight="1" x14ac:dyDescent="0.25">
      <c r="A93" s="24"/>
      <c r="B93" s="32" t="s">
        <v>106</v>
      </c>
      <c r="C93" s="26">
        <f>1.49894+6058.3827</f>
        <v>6059.8816400000005</v>
      </c>
      <c r="D93" s="59"/>
      <c r="E93" s="39">
        <f t="shared" ref="E93:E95" si="67">C93-D93</f>
        <v>6059.8816400000005</v>
      </c>
      <c r="F93" s="26">
        <f>3774.28375</f>
        <v>3774.2837500000001</v>
      </c>
      <c r="G93" s="59">
        <f>0</f>
        <v>0</v>
      </c>
      <c r="H93" s="39">
        <f t="shared" si="35"/>
        <v>3774.2837500000001</v>
      </c>
      <c r="I93" s="26">
        <f>3939.83-F93</f>
        <v>165.54624999999987</v>
      </c>
      <c r="J93" s="59"/>
      <c r="K93" s="39">
        <f t="shared" ref="K93:K95" si="68">I93-J93</f>
        <v>165.54624999999987</v>
      </c>
      <c r="L93" s="26">
        <f>6088</f>
        <v>6088</v>
      </c>
      <c r="M93" s="59"/>
      <c r="N93" s="39">
        <f t="shared" ref="N93:N95" si="69">L93-M93</f>
        <v>6088</v>
      </c>
      <c r="O93" s="26">
        <f>7235.91616+5</f>
        <v>7240.9161599999998</v>
      </c>
      <c r="P93" s="59">
        <f>0</f>
        <v>0</v>
      </c>
      <c r="Q93" s="39">
        <f t="shared" ref="Q93:Q95" si="70">O93-P93</f>
        <v>7240.9161599999998</v>
      </c>
      <c r="R93" s="51"/>
      <c r="S93" s="26">
        <f>4369.542+0</f>
        <v>4369.5420000000004</v>
      </c>
      <c r="T93" s="59"/>
      <c r="U93" s="39">
        <f t="shared" ref="U93:U95" si="71">S93-T93</f>
        <v>4369.5420000000004</v>
      </c>
      <c r="V93" s="26">
        <v>745.2</v>
      </c>
      <c r="W93" s="59"/>
      <c r="X93" s="39">
        <f t="shared" ref="X93:X95" si="72">V93-W93</f>
        <v>745.2</v>
      </c>
      <c r="Y93" s="26">
        <f t="shared" si="65"/>
        <v>7240.9161599999998</v>
      </c>
      <c r="Z93" s="59"/>
      <c r="AA93" s="39">
        <f t="shared" ref="AA93:AA95" si="73">Y93-Z93</f>
        <v>7240.9161599999998</v>
      </c>
      <c r="AB93" s="51"/>
    </row>
    <row r="94" spans="1:28" ht="25.5" x14ac:dyDescent="0.25">
      <c r="A94" s="24"/>
      <c r="B94" s="32" t="s">
        <v>83</v>
      </c>
      <c r="C94" s="26">
        <f>195129.38551+6020.49415</f>
        <v>201149.87966000001</v>
      </c>
      <c r="D94" s="59">
        <f>130351.76211</f>
        <v>130351.76211</v>
      </c>
      <c r="E94" s="39">
        <f t="shared" si="67"/>
        <v>70798.11755000001</v>
      </c>
      <c r="F94" s="26">
        <f>6650.17341+861.39758</f>
        <v>7511.5709900000002</v>
      </c>
      <c r="G94" s="59">
        <v>0</v>
      </c>
      <c r="H94" s="39">
        <f t="shared" si="35"/>
        <v>7511.5709900000002</v>
      </c>
      <c r="I94" s="26">
        <f>1283.12+50111.41829-F94</f>
        <v>43882.967300000004</v>
      </c>
      <c r="J94" s="59">
        <f>41225.57385-G94</f>
        <v>41225.573850000001</v>
      </c>
      <c r="K94" s="39">
        <f t="shared" si="68"/>
        <v>2657.3934500000032</v>
      </c>
      <c r="L94" s="26">
        <f>2499</f>
        <v>2499</v>
      </c>
      <c r="M94" s="59"/>
      <c r="N94" s="39">
        <f t="shared" si="69"/>
        <v>2499</v>
      </c>
      <c r="O94" s="26">
        <f>3778.212+125267.23365</f>
        <v>129045.44564999999</v>
      </c>
      <c r="P94" s="59">
        <f>67081.77083</f>
        <v>67081.770829999994</v>
      </c>
      <c r="Q94" s="39">
        <f t="shared" si="70"/>
        <v>61963.67482</v>
      </c>
      <c r="R94" s="51">
        <f t="shared" ref="R94:R95" si="74">Q94/E94</f>
        <v>0.87521641767154568</v>
      </c>
      <c r="S94" s="26">
        <f>1973.986+20485.85133</f>
        <v>22459.837330000002</v>
      </c>
      <c r="T94" s="59">
        <f>18864.72316</f>
        <v>18864.723160000001</v>
      </c>
      <c r="U94" s="39">
        <f t="shared" si="71"/>
        <v>3595.1141700000007</v>
      </c>
      <c r="V94" s="26">
        <v>40011.699999999997</v>
      </c>
      <c r="W94" s="59">
        <v>38415.199999999997</v>
      </c>
      <c r="X94" s="39">
        <f t="shared" si="72"/>
        <v>1596.5</v>
      </c>
      <c r="Y94" s="26">
        <f t="shared" si="65"/>
        <v>129045.44564999999</v>
      </c>
      <c r="Z94" s="59">
        <f t="shared" si="66"/>
        <v>67081.770829999994</v>
      </c>
      <c r="AA94" s="39">
        <f t="shared" si="73"/>
        <v>61963.67482</v>
      </c>
      <c r="AB94" s="51">
        <f t="shared" ref="AB94:AB95" si="75">AA94/E94</f>
        <v>0.87521641767154568</v>
      </c>
    </row>
    <row r="95" spans="1:28" ht="25.5" x14ac:dyDescent="0.25">
      <c r="A95" s="24"/>
      <c r="B95" s="32" t="s">
        <v>84</v>
      </c>
      <c r="C95" s="26">
        <f>9443.56402+9671.691</f>
        <v>19115.255020000001</v>
      </c>
      <c r="D95" s="59"/>
      <c r="E95" s="39">
        <f t="shared" si="67"/>
        <v>19115.255020000001</v>
      </c>
      <c r="F95" s="26">
        <f>262.736+99.977+148.4</f>
        <v>511.11299999999994</v>
      </c>
      <c r="G95" s="59">
        <v>0</v>
      </c>
      <c r="H95" s="39">
        <f t="shared" si="35"/>
        <v>511.11299999999994</v>
      </c>
      <c r="I95" s="26">
        <f>248.38+262.736-F95</f>
        <v>3.0000000000427463E-3</v>
      </c>
      <c r="J95" s="59"/>
      <c r="K95" s="39">
        <f t="shared" si="68"/>
        <v>3.0000000000427463E-3</v>
      </c>
      <c r="L95" s="26">
        <f>1011</f>
        <v>1011</v>
      </c>
      <c r="M95" s="59"/>
      <c r="N95" s="39">
        <f t="shared" si="69"/>
        <v>1011</v>
      </c>
      <c r="O95" s="26">
        <f>955.143</f>
        <v>955.14300000000003</v>
      </c>
      <c r="P95" s="59"/>
      <c r="Q95" s="39">
        <f t="shared" si="70"/>
        <v>955.14300000000003</v>
      </c>
      <c r="R95" s="51">
        <f t="shared" si="74"/>
        <v>4.9967578198702997E-2</v>
      </c>
      <c r="S95" s="26">
        <f>536.278</f>
        <v>536.27800000000002</v>
      </c>
      <c r="T95" s="59"/>
      <c r="U95" s="39">
        <f t="shared" si="71"/>
        <v>536.27800000000002</v>
      </c>
      <c r="V95" s="26">
        <v>12.3</v>
      </c>
      <c r="W95" s="59"/>
      <c r="X95" s="39">
        <f t="shared" si="72"/>
        <v>12.3</v>
      </c>
      <c r="Y95" s="26">
        <f t="shared" si="65"/>
        <v>955.14300000000003</v>
      </c>
      <c r="Z95" s="59"/>
      <c r="AA95" s="39">
        <f t="shared" si="73"/>
        <v>955.14300000000003</v>
      </c>
      <c r="AB95" s="51">
        <f t="shared" si="75"/>
        <v>4.9967578198702997E-2</v>
      </c>
    </row>
    <row r="96" spans="1:28" ht="25.5" x14ac:dyDescent="0.25">
      <c r="A96" s="24" t="s">
        <v>123</v>
      </c>
      <c r="B96" s="32" t="s">
        <v>124</v>
      </c>
      <c r="C96" s="26">
        <f>28.0121+969.04283</f>
        <v>997.05493000000001</v>
      </c>
      <c r="D96" s="59"/>
      <c r="E96" s="39">
        <f t="shared" si="0"/>
        <v>997.05493000000001</v>
      </c>
      <c r="F96" s="26">
        <f>802.84829</f>
        <v>802.84829000000002</v>
      </c>
      <c r="G96" s="59">
        <v>0</v>
      </c>
      <c r="H96" s="39">
        <f t="shared" si="35"/>
        <v>802.84829000000002</v>
      </c>
      <c r="I96" s="26">
        <f>982.55163-F96</f>
        <v>179.70334000000003</v>
      </c>
      <c r="J96" s="59"/>
      <c r="K96" s="39">
        <f t="shared" si="36"/>
        <v>179.70334000000003</v>
      </c>
      <c r="L96" s="26">
        <v>122.6</v>
      </c>
      <c r="M96" s="59"/>
      <c r="N96" s="39">
        <f t="shared" si="37"/>
        <v>122.6</v>
      </c>
      <c r="O96" s="26">
        <v>0</v>
      </c>
      <c r="P96" s="59"/>
      <c r="Q96" s="39">
        <f t="shared" si="38"/>
        <v>0</v>
      </c>
      <c r="R96" s="51">
        <f t="shared" si="62"/>
        <v>0</v>
      </c>
      <c r="S96" s="26"/>
      <c r="T96" s="59"/>
      <c r="U96" s="39">
        <f t="shared" si="39"/>
        <v>0</v>
      </c>
      <c r="V96" s="26"/>
      <c r="W96" s="59"/>
      <c r="X96" s="39">
        <f t="shared" si="40"/>
        <v>0</v>
      </c>
      <c r="Y96" s="26"/>
      <c r="Z96" s="59"/>
      <c r="AA96" s="39">
        <f t="shared" si="41"/>
        <v>0</v>
      </c>
      <c r="AB96" s="51">
        <f t="shared" si="8"/>
        <v>0</v>
      </c>
    </row>
    <row r="97" spans="1:28" ht="25.5" x14ac:dyDescent="0.25">
      <c r="A97" s="24" t="s">
        <v>125</v>
      </c>
      <c r="B97" s="32" t="s">
        <v>126</v>
      </c>
      <c r="C97" s="26"/>
      <c r="D97" s="59"/>
      <c r="E97" s="39">
        <f t="shared" si="0"/>
        <v>0</v>
      </c>
      <c r="F97" s="26">
        <v>0</v>
      </c>
      <c r="G97" s="59">
        <v>0</v>
      </c>
      <c r="H97" s="39">
        <f t="shared" si="35"/>
        <v>0</v>
      </c>
      <c r="I97" s="26">
        <v>0</v>
      </c>
      <c r="J97" s="59"/>
      <c r="K97" s="39">
        <f t="shared" si="36"/>
        <v>0</v>
      </c>
      <c r="L97" s="26">
        <v>14228.4</v>
      </c>
      <c r="M97" s="59"/>
      <c r="N97" s="39">
        <f t="shared" si="37"/>
        <v>14228.4</v>
      </c>
      <c r="O97" s="26">
        <v>0</v>
      </c>
      <c r="P97" s="59"/>
      <c r="Q97" s="39">
        <f t="shared" si="38"/>
        <v>0</v>
      </c>
      <c r="R97" s="51" t="e">
        <f t="shared" si="62"/>
        <v>#DIV/0!</v>
      </c>
      <c r="S97" s="26"/>
      <c r="T97" s="59"/>
      <c r="U97" s="39">
        <f t="shared" si="39"/>
        <v>0</v>
      </c>
      <c r="V97" s="26"/>
      <c r="W97" s="59"/>
      <c r="X97" s="39">
        <f t="shared" si="40"/>
        <v>0</v>
      </c>
      <c r="Y97" s="26"/>
      <c r="Z97" s="59"/>
      <c r="AA97" s="39">
        <f t="shared" si="41"/>
        <v>0</v>
      </c>
      <c r="AB97" s="51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59"/>
      <c r="E98" s="39">
        <f t="shared" si="0"/>
        <v>0</v>
      </c>
      <c r="F98" s="26"/>
      <c r="G98" s="59"/>
      <c r="H98" s="39">
        <f t="shared" si="35"/>
        <v>0</v>
      </c>
      <c r="I98" s="26"/>
      <c r="J98" s="59"/>
      <c r="K98" s="39">
        <f t="shared" si="36"/>
        <v>0</v>
      </c>
      <c r="L98" s="26"/>
      <c r="M98" s="59"/>
      <c r="N98" s="39">
        <f t="shared" si="37"/>
        <v>0</v>
      </c>
      <c r="O98" s="26"/>
      <c r="P98" s="59"/>
      <c r="Q98" s="39">
        <f t="shared" si="38"/>
        <v>0</v>
      </c>
      <c r="R98" s="51" t="e">
        <f t="shared" si="62"/>
        <v>#DIV/0!</v>
      </c>
      <c r="S98" s="26"/>
      <c r="T98" s="59"/>
      <c r="U98" s="39">
        <f t="shared" si="39"/>
        <v>0</v>
      </c>
      <c r="V98" s="26"/>
      <c r="W98" s="59"/>
      <c r="X98" s="39">
        <f t="shared" si="40"/>
        <v>0</v>
      </c>
      <c r="Y98" s="26"/>
      <c r="Z98" s="59"/>
      <c r="AA98" s="39">
        <f t="shared" si="41"/>
        <v>0</v>
      </c>
      <c r="AB98" s="51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20185.1823</v>
      </c>
      <c r="D99" s="26">
        <f>D101+D102+D103</f>
        <v>0</v>
      </c>
      <c r="E99" s="39">
        <f t="shared" si="0"/>
        <v>20185.1823</v>
      </c>
      <c r="F99" s="26">
        <f>F101+F102+F103</f>
        <v>17321.228770000002</v>
      </c>
      <c r="G99" s="26">
        <f>G101+G102+G103</f>
        <v>0</v>
      </c>
      <c r="H99" s="39">
        <f t="shared" si="35"/>
        <v>17321.228770000002</v>
      </c>
      <c r="I99" s="26">
        <f>I101+I102+I103</f>
        <v>144.49999999999997</v>
      </c>
      <c r="J99" s="70"/>
      <c r="K99" s="39">
        <f t="shared" si="36"/>
        <v>144.49999999999997</v>
      </c>
      <c r="L99" s="26">
        <f>L101+L102+L103</f>
        <v>662.7</v>
      </c>
      <c r="M99" s="70"/>
      <c r="N99" s="39">
        <f t="shared" si="37"/>
        <v>662.7</v>
      </c>
      <c r="O99" s="26">
        <f>O101+O102+O103</f>
        <v>654.41903000000002</v>
      </c>
      <c r="P99" s="70"/>
      <c r="Q99" s="39">
        <f t="shared" si="38"/>
        <v>654.41903000000002</v>
      </c>
      <c r="R99" s="51">
        <f t="shared" si="62"/>
        <v>3.2420763918490844E-2</v>
      </c>
      <c r="S99" s="26">
        <f>S101+S102+S103</f>
        <v>142.07253999999998</v>
      </c>
      <c r="T99" s="70"/>
      <c r="U99" s="39">
        <f t="shared" si="39"/>
        <v>142.07253999999998</v>
      </c>
      <c r="V99" s="26">
        <f>V101+V102+V103</f>
        <v>74.2</v>
      </c>
      <c r="W99" s="70"/>
      <c r="X99" s="39">
        <f t="shared" si="40"/>
        <v>74.2</v>
      </c>
      <c r="Y99" s="26">
        <f t="shared" si="65"/>
        <v>654.41903000000002</v>
      </c>
      <c r="Z99" s="59"/>
      <c r="AA99" s="39">
        <f t="shared" si="41"/>
        <v>654.41903000000002</v>
      </c>
      <c r="AB99" s="51">
        <f t="shared" si="8"/>
        <v>3.2420763918490844E-2</v>
      </c>
    </row>
    <row r="100" spans="1:28" x14ac:dyDescent="0.25">
      <c r="A100" s="24"/>
      <c r="B100" s="32" t="s">
        <v>17</v>
      </c>
      <c r="C100" s="26"/>
      <c r="D100" s="70"/>
      <c r="E100" s="39"/>
      <c r="F100" s="26"/>
      <c r="G100" s="70"/>
      <c r="H100" s="39"/>
      <c r="I100" s="26"/>
      <c r="J100" s="70"/>
      <c r="K100" s="39"/>
      <c r="L100" s="26"/>
      <c r="M100" s="70"/>
      <c r="N100" s="39"/>
      <c r="O100" s="26"/>
      <c r="P100" s="70"/>
      <c r="Q100" s="39"/>
      <c r="R100" s="51"/>
      <c r="S100" s="26"/>
      <c r="T100" s="70"/>
      <c r="U100" s="39"/>
      <c r="V100" s="26"/>
      <c r="W100" s="70"/>
      <c r="X100" s="39"/>
      <c r="Y100" s="26"/>
      <c r="Z100" s="59"/>
      <c r="AA100" s="39"/>
      <c r="AB100" s="51"/>
    </row>
    <row r="101" spans="1:28" ht="76.5" x14ac:dyDescent="0.25">
      <c r="A101" s="24"/>
      <c r="B101" s="32" t="s">
        <v>130</v>
      </c>
      <c r="C101" s="26">
        <v>19445.47739</v>
      </c>
      <c r="D101" s="70"/>
      <c r="E101" s="39">
        <f t="shared" ref="E101:E104" si="76">C101-D101</f>
        <v>19445.47739</v>
      </c>
      <c r="F101" s="26">
        <f>17020.66286</f>
        <v>17020.66286</v>
      </c>
      <c r="G101" s="70"/>
      <c r="H101" s="39">
        <f t="shared" ref="H101:H103" si="77">F101-G101</f>
        <v>17020.66286</v>
      </c>
      <c r="I101" s="26">
        <f>17020.66286-F101</f>
        <v>0</v>
      </c>
      <c r="J101" s="70"/>
      <c r="K101" s="39">
        <f t="shared" ref="K101:K103" si="78">I101-J101</f>
        <v>0</v>
      </c>
      <c r="L101" s="26"/>
      <c r="M101" s="70"/>
      <c r="N101" s="39">
        <f t="shared" ref="N101:N103" si="79">L101-M101</f>
        <v>0</v>
      </c>
      <c r="O101" s="26">
        <v>0</v>
      </c>
      <c r="P101" s="70"/>
      <c r="Q101" s="39">
        <f t="shared" ref="Q101:Q103" si="80">O101-P101</f>
        <v>0</v>
      </c>
      <c r="R101" s="51">
        <f t="shared" si="62"/>
        <v>0</v>
      </c>
      <c r="S101" s="26"/>
      <c r="T101" s="70"/>
      <c r="U101" s="39">
        <f t="shared" ref="U101:U103" si="81">S101-T101</f>
        <v>0</v>
      </c>
      <c r="V101" s="26">
        <v>0</v>
      </c>
      <c r="W101" s="70"/>
      <c r="X101" s="39">
        <f t="shared" ref="X101:X103" si="82">V101-W101</f>
        <v>0</v>
      </c>
      <c r="Y101" s="26"/>
      <c r="Z101" s="59"/>
      <c r="AA101" s="39">
        <f t="shared" ref="AA101:AA103" si="83">Y101-Z101</f>
        <v>0</v>
      </c>
      <c r="AB101" s="51">
        <f t="shared" ref="AB101:AB145" si="84">AA101/E101</f>
        <v>0</v>
      </c>
    </row>
    <row r="102" spans="1:28" ht="25.5" x14ac:dyDescent="0.25">
      <c r="A102" s="24"/>
      <c r="B102" s="32" t="s">
        <v>131</v>
      </c>
      <c r="C102" s="26">
        <v>150</v>
      </c>
      <c r="D102" s="70"/>
      <c r="E102" s="39">
        <f t="shared" si="76"/>
        <v>150</v>
      </c>
      <c r="F102" s="26">
        <v>150</v>
      </c>
      <c r="G102" s="70"/>
      <c r="H102" s="39">
        <f t="shared" si="77"/>
        <v>150</v>
      </c>
      <c r="I102" s="26">
        <f>150-F102</f>
        <v>0</v>
      </c>
      <c r="J102" s="70"/>
      <c r="K102" s="39">
        <f t="shared" si="78"/>
        <v>0</v>
      </c>
      <c r="L102" s="26"/>
      <c r="M102" s="70"/>
      <c r="N102" s="39">
        <f t="shared" si="79"/>
        <v>0</v>
      </c>
      <c r="O102" s="26">
        <v>2</v>
      </c>
      <c r="P102" s="70"/>
      <c r="Q102" s="39">
        <f t="shared" si="80"/>
        <v>2</v>
      </c>
      <c r="R102" s="51">
        <f t="shared" si="62"/>
        <v>1.3333333333333334E-2</v>
      </c>
      <c r="S102" s="26">
        <v>2</v>
      </c>
      <c r="T102" s="70"/>
      <c r="U102" s="39">
        <f t="shared" si="81"/>
        <v>2</v>
      </c>
      <c r="V102" s="26">
        <v>0</v>
      </c>
      <c r="W102" s="70"/>
      <c r="X102" s="39">
        <f t="shared" si="82"/>
        <v>0</v>
      </c>
      <c r="Y102" s="26"/>
      <c r="Z102" s="59"/>
      <c r="AA102" s="39">
        <f t="shared" si="83"/>
        <v>0</v>
      </c>
      <c r="AB102" s="51">
        <f t="shared" si="84"/>
        <v>0</v>
      </c>
    </row>
    <row r="103" spans="1:28" ht="25.5" x14ac:dyDescent="0.25">
      <c r="A103" s="24"/>
      <c r="B103" s="32" t="s">
        <v>132</v>
      </c>
      <c r="C103" s="26">
        <f>5.52106+584.18385</f>
        <v>589.70491000000004</v>
      </c>
      <c r="D103" s="70"/>
      <c r="E103" s="39">
        <f t="shared" si="76"/>
        <v>589.70491000000004</v>
      </c>
      <c r="F103" s="26">
        <f>150.56591</f>
        <v>150.56591</v>
      </c>
      <c r="G103" s="70"/>
      <c r="H103" s="39">
        <f t="shared" si="77"/>
        <v>150.56591</v>
      </c>
      <c r="I103" s="26">
        <f>295.06591-F103</f>
        <v>144.49999999999997</v>
      </c>
      <c r="J103" s="70"/>
      <c r="K103" s="39">
        <f t="shared" si="78"/>
        <v>144.49999999999997</v>
      </c>
      <c r="L103" s="26">
        <v>662.7</v>
      </c>
      <c r="M103" s="70"/>
      <c r="N103" s="39">
        <f t="shared" si="79"/>
        <v>662.7</v>
      </c>
      <c r="O103" s="26">
        <f>586.18111+6.23792+60</f>
        <v>652.41903000000002</v>
      </c>
      <c r="P103" s="70"/>
      <c r="Q103" s="39">
        <f t="shared" si="80"/>
        <v>652.41903000000002</v>
      </c>
      <c r="R103" s="51">
        <f t="shared" si="62"/>
        <v>1.1063483090212018</v>
      </c>
      <c r="S103" s="26">
        <f>1.319+138.75354</f>
        <v>140.07253999999998</v>
      </c>
      <c r="T103" s="70"/>
      <c r="U103" s="39">
        <f t="shared" si="81"/>
        <v>140.07253999999998</v>
      </c>
      <c r="V103" s="26">
        <v>74.2</v>
      </c>
      <c r="W103" s="70"/>
      <c r="X103" s="39">
        <f t="shared" si="82"/>
        <v>74.2</v>
      </c>
      <c r="Y103" s="26">
        <f t="shared" ref="Y103" si="85">O103</f>
        <v>652.41903000000002</v>
      </c>
      <c r="Z103" s="59"/>
      <c r="AA103" s="39">
        <f t="shared" si="83"/>
        <v>652.41903000000002</v>
      </c>
      <c r="AB103" s="51">
        <f t="shared" si="84"/>
        <v>1.1063483090212018</v>
      </c>
    </row>
    <row r="104" spans="1:28" x14ac:dyDescent="0.25">
      <c r="A104" s="72"/>
      <c r="B104" s="12" t="s">
        <v>133</v>
      </c>
      <c r="C104" s="73">
        <f>C51</f>
        <v>3333718.34002</v>
      </c>
      <c r="D104" s="73">
        <f t="shared" ref="D104" si="86">D51</f>
        <v>1951982.21104</v>
      </c>
      <c r="E104" s="13">
        <f t="shared" si="76"/>
        <v>1381736.12898</v>
      </c>
      <c r="F104" s="73">
        <f>F51</f>
        <v>1083867.84763</v>
      </c>
      <c r="G104" s="73">
        <f t="shared" ref="G104" si="87">G51</f>
        <v>571812.75550999993</v>
      </c>
      <c r="H104" s="13">
        <f t="shared" si="35"/>
        <v>512055.09212000004</v>
      </c>
      <c r="I104" s="73">
        <f>I51</f>
        <v>297936.15951999993</v>
      </c>
      <c r="J104" s="73">
        <f t="shared" ref="J104" si="88">J51</f>
        <v>191962.16897999993</v>
      </c>
      <c r="K104" s="13">
        <f t="shared" si="36"/>
        <v>105973.99054</v>
      </c>
      <c r="L104" s="73">
        <f>L51</f>
        <v>3147176.2886099997</v>
      </c>
      <c r="M104" s="73">
        <f t="shared" ref="M104" si="89">M51</f>
        <v>1741913.7386700001</v>
      </c>
      <c r="N104" s="13">
        <f t="shared" si="37"/>
        <v>1405262.5499399996</v>
      </c>
      <c r="O104" s="73">
        <f>O51</f>
        <v>3171805.10072</v>
      </c>
      <c r="P104" s="73">
        <f t="shared" ref="P104" si="90">P51</f>
        <v>1695646.82381</v>
      </c>
      <c r="Q104" s="13">
        <f t="shared" si="38"/>
        <v>1476158.27691</v>
      </c>
      <c r="R104" s="14">
        <f>Q104/E104</f>
        <v>1.0683358753886696</v>
      </c>
      <c r="S104" s="73">
        <f>S51</f>
        <v>1333680.6680300003</v>
      </c>
      <c r="T104" s="73">
        <f t="shared" ref="T104" si="91">T51</f>
        <v>748166.61765000003</v>
      </c>
      <c r="U104" s="13">
        <f t="shared" si="39"/>
        <v>585514.05038000026</v>
      </c>
      <c r="V104" s="73">
        <f>V51</f>
        <v>287414.47699999996</v>
      </c>
      <c r="W104" s="73">
        <f t="shared" ref="W104" si="92">W51</f>
        <v>205542.18</v>
      </c>
      <c r="X104" s="13">
        <f t="shared" si="40"/>
        <v>81872.296999999962</v>
      </c>
      <c r="Y104" s="73">
        <f>Y51</f>
        <v>3174089.10072</v>
      </c>
      <c r="Z104" s="73">
        <f t="shared" ref="Z104" si="93">Z51</f>
        <v>1695646.82381</v>
      </c>
      <c r="AA104" s="13">
        <f t="shared" si="41"/>
        <v>1478442.27691</v>
      </c>
      <c r="AB104" s="14">
        <f t="shared" si="84"/>
        <v>1.0699888682807972</v>
      </c>
    </row>
    <row r="105" spans="1:28" x14ac:dyDescent="0.25">
      <c r="A105" s="41"/>
      <c r="B105" s="74" t="s">
        <v>134</v>
      </c>
      <c r="C105" s="75">
        <f t="shared" ref="C105:I105" si="94">C50-C51</f>
        <v>39387.264939999674</v>
      </c>
      <c r="D105" s="75">
        <f t="shared" si="94"/>
        <v>2574.4233500002883</v>
      </c>
      <c r="E105" s="75">
        <f t="shared" si="94"/>
        <v>36812.841589999385</v>
      </c>
      <c r="F105" s="75">
        <f t="shared" si="94"/>
        <v>70265.059570000041</v>
      </c>
      <c r="G105" s="75">
        <f t="shared" si="94"/>
        <v>21544.081520000123</v>
      </c>
      <c r="H105" s="75">
        <f t="shared" si="94"/>
        <v>48720.978049999918</v>
      </c>
      <c r="I105" s="75">
        <f t="shared" si="94"/>
        <v>-14749.898629999836</v>
      </c>
      <c r="J105" s="75">
        <f>J50-J51</f>
        <v>4691.3334100000793</v>
      </c>
      <c r="K105" s="75">
        <f>I105-J105</f>
        <v>-19441.232039999915</v>
      </c>
      <c r="L105" s="75">
        <f>L50-L51</f>
        <v>-98315.706969999708</v>
      </c>
      <c r="M105" s="75">
        <f>M50-M51</f>
        <v>-0.32003000006079674</v>
      </c>
      <c r="N105" s="75">
        <f>N50-N51</f>
        <v>-98315.386939999647</v>
      </c>
      <c r="O105" s="75">
        <f>O50-O51</f>
        <v>202059.0927799996</v>
      </c>
      <c r="P105" s="75">
        <f t="shared" ref="P105:Q105" si="95">P50-P51</f>
        <v>370026.30669</v>
      </c>
      <c r="Q105" s="75">
        <f t="shared" si="95"/>
        <v>-167967.2139100004</v>
      </c>
      <c r="R105" s="75"/>
      <c r="S105" s="75">
        <f t="shared" ref="S105:Z105" si="96">S50-S51</f>
        <v>79426.093309999909</v>
      </c>
      <c r="T105" s="75">
        <f t="shared" si="96"/>
        <v>-4960.9875000000466</v>
      </c>
      <c r="U105" s="75">
        <f>S105-T105</f>
        <v>84387.080809999956</v>
      </c>
      <c r="V105" s="75">
        <f t="shared" si="96"/>
        <v>-41672.858469999977</v>
      </c>
      <c r="W105" s="75">
        <f t="shared" si="96"/>
        <v>-1172.2799999999988</v>
      </c>
      <c r="X105" s="75">
        <f>V105-W105</f>
        <v>-40500.578469999979</v>
      </c>
      <c r="Y105" s="75">
        <f t="shared" si="96"/>
        <v>-173982.20051999995</v>
      </c>
      <c r="Z105" s="75">
        <f t="shared" si="96"/>
        <v>-7514.7826499999501</v>
      </c>
      <c r="AA105" s="75">
        <f>Y105-Z105</f>
        <v>-166467.41787</v>
      </c>
      <c r="AB105" s="19"/>
    </row>
    <row r="106" spans="1:28" s="156" customFormat="1" ht="22.5" x14ac:dyDescent="0.25">
      <c r="A106" s="163"/>
      <c r="B106" s="164" t="s">
        <v>135</v>
      </c>
      <c r="C106" s="76">
        <v>39387.264940000001</v>
      </c>
      <c r="D106" s="76">
        <v>2574.42335</v>
      </c>
      <c r="E106" s="76"/>
      <c r="F106" s="76">
        <f>70265.05657</f>
        <v>70265.056570000001</v>
      </c>
      <c r="G106" s="76">
        <f>21544.08152</f>
        <v>21544.08152</v>
      </c>
      <c r="H106" s="76">
        <f>F106-G106</f>
        <v>48720.975050000001</v>
      </c>
      <c r="I106" s="76">
        <f>55515.16094-F106</f>
        <v>-14749.895629999999</v>
      </c>
      <c r="J106" s="76">
        <f>26235.41493-G106</f>
        <v>4691.3334099999993</v>
      </c>
      <c r="K106" s="76">
        <f>I106-J106</f>
        <v>-19441.229039999998</v>
      </c>
      <c r="L106" s="77">
        <v>-98315.706969999999</v>
      </c>
      <c r="M106" s="77">
        <v>0</v>
      </c>
      <c r="N106" s="171">
        <f>L106-M106</f>
        <v>-98315.706969999999</v>
      </c>
      <c r="O106" s="78">
        <v>-169241.21390999999</v>
      </c>
      <c r="P106" s="79">
        <v>370029.30669</v>
      </c>
      <c r="Q106" s="171">
        <f>O106-P106</f>
        <v>-539270.52059999993</v>
      </c>
      <c r="R106" s="80"/>
      <c r="S106" s="76">
        <v>79426.093309999997</v>
      </c>
      <c r="T106" s="76">
        <v>-4960.9874</v>
      </c>
      <c r="U106" s="171">
        <f>S106-T106</f>
        <v>84387.080709999995</v>
      </c>
      <c r="V106" s="76"/>
      <c r="W106" s="76"/>
      <c r="X106" s="76"/>
      <c r="Y106" s="76"/>
      <c r="Z106" s="76"/>
      <c r="AA106" s="76"/>
      <c r="AB106" s="80"/>
    </row>
    <row r="107" spans="1:28" ht="26.25" x14ac:dyDescent="0.25">
      <c r="A107" s="15" t="s">
        <v>136</v>
      </c>
      <c r="B107" s="81" t="s">
        <v>137</v>
      </c>
      <c r="C107" s="82">
        <f>C109+C110+C115+C118</f>
        <v>-39387.264939999674</v>
      </c>
      <c r="D107" s="82" t="s">
        <v>138</v>
      </c>
      <c r="E107" s="83" t="s">
        <v>138</v>
      </c>
      <c r="F107" s="82">
        <f>F109+F110+F115+F118</f>
        <v>-70265.059570000041</v>
      </c>
      <c r="G107" s="82" t="s">
        <v>138</v>
      </c>
      <c r="H107" s="82" t="s">
        <v>138</v>
      </c>
      <c r="I107" s="82">
        <f>I109+I110+I115+I118</f>
        <v>14749.898629999836</v>
      </c>
      <c r="J107" s="82" t="s">
        <v>138</v>
      </c>
      <c r="K107" s="82" t="s">
        <v>138</v>
      </c>
      <c r="L107" s="84">
        <f>L109+L110+L115+L118</f>
        <v>98315.706969999708</v>
      </c>
      <c r="M107" s="82" t="s">
        <v>138</v>
      </c>
      <c r="N107" s="82" t="s">
        <v>138</v>
      </c>
      <c r="O107" s="84">
        <f>O109+O110+O115+O118</f>
        <v>-202059.0927799996</v>
      </c>
      <c r="P107" s="82" t="s">
        <v>138</v>
      </c>
      <c r="Q107" s="82" t="s">
        <v>138</v>
      </c>
      <c r="R107" s="19"/>
      <c r="S107" s="82">
        <f>S109+S110+S115+S118</f>
        <v>-79426.093309999909</v>
      </c>
      <c r="T107" s="82" t="s">
        <v>138</v>
      </c>
      <c r="U107" s="82" t="s">
        <v>138</v>
      </c>
      <c r="V107" s="82">
        <f>V109+V110+V115+V118</f>
        <v>41672.858469999977</v>
      </c>
      <c r="W107" s="85" t="s">
        <v>138</v>
      </c>
      <c r="X107" s="85" t="s">
        <v>138</v>
      </c>
      <c r="Y107" s="82">
        <f>Y109+Y110+Y115+Y118</f>
        <v>173982.20051999995</v>
      </c>
      <c r="Z107" s="82" t="s">
        <v>138</v>
      </c>
      <c r="AA107" s="82" t="s">
        <v>138</v>
      </c>
      <c r="AB107" s="19"/>
    </row>
    <row r="108" spans="1:28" x14ac:dyDescent="0.25">
      <c r="A108" s="15"/>
      <c r="B108" s="25" t="s">
        <v>17</v>
      </c>
      <c r="C108" s="82"/>
      <c r="D108" s="82"/>
      <c r="E108" s="83"/>
      <c r="F108" s="82"/>
      <c r="G108" s="82"/>
      <c r="H108" s="82"/>
      <c r="I108" s="82"/>
      <c r="J108" s="82"/>
      <c r="K108" s="82"/>
      <c r="L108" s="86"/>
      <c r="M108" s="82"/>
      <c r="N108" s="82"/>
      <c r="O108" s="86"/>
      <c r="P108" s="82"/>
      <c r="Q108" s="82"/>
      <c r="R108" s="19"/>
      <c r="S108" s="86"/>
      <c r="T108" s="82"/>
      <c r="U108" s="82"/>
      <c r="V108" s="86"/>
      <c r="W108" s="86"/>
      <c r="X108" s="86"/>
      <c r="Y108" s="86"/>
      <c r="Z108" s="82"/>
      <c r="AA108" s="82"/>
      <c r="AB108" s="19"/>
    </row>
    <row r="109" spans="1:28" x14ac:dyDescent="0.25">
      <c r="A109" s="15" t="s">
        <v>139</v>
      </c>
      <c r="B109" s="81" t="s">
        <v>140</v>
      </c>
      <c r="C109" s="82">
        <f>C104-C50-C115-C110-C118</f>
        <v>-406641.09953999968</v>
      </c>
      <c r="D109" s="82" t="s">
        <v>138</v>
      </c>
      <c r="E109" s="83" t="s">
        <v>138</v>
      </c>
      <c r="F109" s="82">
        <f>F104-F50-F115-F110-F118</f>
        <v>-65627.148290000041</v>
      </c>
      <c r="G109" s="82" t="s">
        <v>138</v>
      </c>
      <c r="H109" s="82" t="s">
        <v>138</v>
      </c>
      <c r="I109" s="82">
        <f>I104-I50-I115-I110-I118</f>
        <v>-21068.814970000167</v>
      </c>
      <c r="J109" s="82" t="s">
        <v>138</v>
      </c>
      <c r="K109" s="82" t="s">
        <v>138</v>
      </c>
      <c r="L109" s="84">
        <f>L104-L50-L115-L110-L118</f>
        <v>-2.9103830456733704E-10</v>
      </c>
      <c r="M109" s="84" t="s">
        <v>138</v>
      </c>
      <c r="N109" s="84" t="s">
        <v>138</v>
      </c>
      <c r="O109" s="84">
        <f>O104-O50-O115-O110-O118</f>
        <v>-300374.7997499996</v>
      </c>
      <c r="P109" s="82" t="s">
        <v>138</v>
      </c>
      <c r="Q109" s="82" t="s">
        <v>138</v>
      </c>
      <c r="R109" s="19"/>
      <c r="S109" s="82">
        <f>S104-S50-S115-S110-S118</f>
        <v>-68802.984579999902</v>
      </c>
      <c r="T109" s="82" t="s">
        <v>138</v>
      </c>
      <c r="U109" s="82" t="s">
        <v>138</v>
      </c>
      <c r="V109" s="82">
        <f>V104-V50-V115-V110-V118</f>
        <v>59112.858469999977</v>
      </c>
      <c r="W109" s="82" t="s">
        <v>138</v>
      </c>
      <c r="X109" s="82" t="s">
        <v>138</v>
      </c>
      <c r="Y109" s="82">
        <f>Y104-Y50-Y115-Y110-Y118</f>
        <v>575998.49355000001</v>
      </c>
      <c r="Z109" s="82" t="s">
        <v>138</v>
      </c>
      <c r="AA109" s="82" t="s">
        <v>138</v>
      </c>
      <c r="AB109" s="19"/>
    </row>
    <row r="110" spans="1:28" ht="26.25" x14ac:dyDescent="0.25">
      <c r="A110" s="15" t="s">
        <v>141</v>
      </c>
      <c r="B110" s="81" t="s">
        <v>142</v>
      </c>
      <c r="C110" s="82">
        <f>C111+C112+C113+C114</f>
        <v>-13580</v>
      </c>
      <c r="D110" s="82" t="s">
        <v>138</v>
      </c>
      <c r="E110" s="83" t="s">
        <v>138</v>
      </c>
      <c r="F110" s="82">
        <f>F111+F112+F113+F114</f>
        <v>0</v>
      </c>
      <c r="G110" s="82" t="s">
        <v>138</v>
      </c>
      <c r="H110" s="82" t="s">
        <v>138</v>
      </c>
      <c r="I110" s="82">
        <f>I111+I112+I113+I114</f>
        <v>0</v>
      </c>
      <c r="J110" s="82" t="s">
        <v>138</v>
      </c>
      <c r="K110" s="82" t="s">
        <v>138</v>
      </c>
      <c r="L110" s="82">
        <f>L111+L112+L113+L114</f>
        <v>-38510</v>
      </c>
      <c r="M110" s="82" t="s">
        <v>138</v>
      </c>
      <c r="N110" s="82" t="s">
        <v>138</v>
      </c>
      <c r="O110" s="82">
        <f>O111+O112+O113+O114</f>
        <v>-38510</v>
      </c>
      <c r="P110" s="82" t="s">
        <v>138</v>
      </c>
      <c r="Q110" s="82" t="s">
        <v>138</v>
      </c>
      <c r="R110" s="19"/>
      <c r="S110" s="82">
        <f>S111+S112+S113+S114</f>
        <v>-10790</v>
      </c>
      <c r="T110" s="82" t="s">
        <v>138</v>
      </c>
      <c r="U110" s="82" t="s">
        <v>138</v>
      </c>
      <c r="V110" s="82">
        <f>V111+V112+V113+V114</f>
        <v>-3720</v>
      </c>
      <c r="W110" s="82" t="s">
        <v>138</v>
      </c>
      <c r="X110" s="82" t="s">
        <v>138</v>
      </c>
      <c r="Y110" s="82">
        <f>Y111+Y112+Y113+Y114</f>
        <v>-38510</v>
      </c>
      <c r="Z110" s="82" t="s">
        <v>138</v>
      </c>
      <c r="AA110" s="82" t="s">
        <v>138</v>
      </c>
      <c r="AB110" s="19"/>
    </row>
    <row r="111" spans="1:28" x14ac:dyDescent="0.25">
      <c r="A111" s="15"/>
      <c r="B111" s="25" t="s">
        <v>143</v>
      </c>
      <c r="C111" s="87">
        <v>0</v>
      </c>
      <c r="D111" s="82" t="s">
        <v>138</v>
      </c>
      <c r="E111" s="83" t="s">
        <v>138</v>
      </c>
      <c r="F111" s="87"/>
      <c r="G111" s="82" t="s">
        <v>138</v>
      </c>
      <c r="H111" s="82" t="s">
        <v>138</v>
      </c>
      <c r="I111" s="87"/>
      <c r="J111" s="82" t="s">
        <v>138</v>
      </c>
      <c r="K111" s="82" t="s">
        <v>138</v>
      </c>
      <c r="L111" s="87"/>
      <c r="M111" s="82" t="s">
        <v>138</v>
      </c>
      <c r="N111" s="82" t="s">
        <v>138</v>
      </c>
      <c r="O111" s="87"/>
      <c r="P111" s="82" t="s">
        <v>138</v>
      </c>
      <c r="Q111" s="82" t="s">
        <v>138</v>
      </c>
      <c r="R111" s="19"/>
      <c r="S111" s="87"/>
      <c r="T111" s="82" t="s">
        <v>138</v>
      </c>
      <c r="U111" s="82" t="s">
        <v>138</v>
      </c>
      <c r="V111" s="87"/>
      <c r="W111" s="82" t="s">
        <v>138</v>
      </c>
      <c r="X111" s="82" t="s">
        <v>138</v>
      </c>
      <c r="Y111" s="87"/>
      <c r="Z111" s="82" t="s">
        <v>138</v>
      </c>
      <c r="AA111" s="82" t="s">
        <v>138</v>
      </c>
      <c r="AB111" s="19"/>
    </row>
    <row r="112" spans="1:28" ht="26.25" x14ac:dyDescent="0.25">
      <c r="A112" s="15"/>
      <c r="B112" s="25" t="s">
        <v>144</v>
      </c>
      <c r="C112" s="87">
        <v>0</v>
      </c>
      <c r="D112" s="82" t="s">
        <v>138</v>
      </c>
      <c r="E112" s="83" t="s">
        <v>138</v>
      </c>
      <c r="F112" s="87"/>
      <c r="G112" s="82" t="s">
        <v>138</v>
      </c>
      <c r="H112" s="82" t="s">
        <v>138</v>
      </c>
      <c r="I112" s="87"/>
      <c r="J112" s="82" t="s">
        <v>138</v>
      </c>
      <c r="K112" s="82" t="s">
        <v>138</v>
      </c>
      <c r="L112" s="87"/>
      <c r="M112" s="82" t="s">
        <v>138</v>
      </c>
      <c r="N112" s="82" t="s">
        <v>138</v>
      </c>
      <c r="O112" s="87"/>
      <c r="P112" s="82" t="s">
        <v>138</v>
      </c>
      <c r="Q112" s="82" t="s">
        <v>138</v>
      </c>
      <c r="R112" s="19"/>
      <c r="S112" s="87"/>
      <c r="T112" s="82" t="s">
        <v>138</v>
      </c>
      <c r="U112" s="82" t="s">
        <v>138</v>
      </c>
      <c r="V112" s="87"/>
      <c r="W112" s="82" t="s">
        <v>138</v>
      </c>
      <c r="X112" s="82" t="s">
        <v>138</v>
      </c>
      <c r="Y112" s="87"/>
      <c r="Z112" s="82" t="s">
        <v>138</v>
      </c>
      <c r="AA112" s="82" t="s">
        <v>138</v>
      </c>
      <c r="AB112" s="19"/>
    </row>
    <row r="113" spans="1:28" x14ac:dyDescent="0.25">
      <c r="A113" s="15"/>
      <c r="B113" s="25" t="s">
        <v>145</v>
      </c>
      <c r="C113" s="87">
        <v>-13580</v>
      </c>
      <c r="D113" s="82" t="s">
        <v>138</v>
      </c>
      <c r="E113" s="83" t="s">
        <v>138</v>
      </c>
      <c r="F113" s="87"/>
      <c r="G113" s="82" t="s">
        <v>138</v>
      </c>
      <c r="H113" s="82" t="s">
        <v>138</v>
      </c>
      <c r="I113" s="87"/>
      <c r="J113" s="82" t="s">
        <v>138</v>
      </c>
      <c r="K113" s="82" t="s">
        <v>138</v>
      </c>
      <c r="L113" s="87">
        <v>-38510</v>
      </c>
      <c r="M113" s="82" t="s">
        <v>138</v>
      </c>
      <c r="N113" s="82" t="s">
        <v>138</v>
      </c>
      <c r="O113" s="87">
        <f>L113</f>
        <v>-38510</v>
      </c>
      <c r="P113" s="82" t="s">
        <v>138</v>
      </c>
      <c r="Q113" s="82" t="s">
        <v>138</v>
      </c>
      <c r="R113" s="19"/>
      <c r="S113" s="87">
        <v>-10790</v>
      </c>
      <c r="T113" s="82" t="s">
        <v>138</v>
      </c>
      <c r="U113" s="82" t="s">
        <v>138</v>
      </c>
      <c r="V113" s="87">
        <v>-3720</v>
      </c>
      <c r="W113" s="82" t="s">
        <v>138</v>
      </c>
      <c r="X113" s="82" t="s">
        <v>138</v>
      </c>
      <c r="Y113" s="87">
        <f>O113</f>
        <v>-38510</v>
      </c>
      <c r="Z113" s="82" t="s">
        <v>138</v>
      </c>
      <c r="AA113" s="82" t="s">
        <v>138</v>
      </c>
      <c r="AB113" s="19"/>
    </row>
    <row r="114" spans="1:28" ht="26.25" x14ac:dyDescent="0.25">
      <c r="A114" s="15"/>
      <c r="B114" s="25" t="s">
        <v>146</v>
      </c>
      <c r="C114" s="87">
        <v>0</v>
      </c>
      <c r="D114" s="82" t="s">
        <v>138</v>
      </c>
      <c r="E114" s="83" t="s">
        <v>138</v>
      </c>
      <c r="F114" s="87"/>
      <c r="G114" s="82" t="s">
        <v>138</v>
      </c>
      <c r="H114" s="82" t="s">
        <v>138</v>
      </c>
      <c r="I114" s="87"/>
      <c r="J114" s="82" t="s">
        <v>138</v>
      </c>
      <c r="K114" s="82" t="s">
        <v>138</v>
      </c>
      <c r="L114" s="87"/>
      <c r="M114" s="82" t="s">
        <v>138</v>
      </c>
      <c r="N114" s="82" t="s">
        <v>138</v>
      </c>
      <c r="O114" s="87"/>
      <c r="P114" s="82" t="s">
        <v>138</v>
      </c>
      <c r="Q114" s="82" t="s">
        <v>138</v>
      </c>
      <c r="R114" s="19"/>
      <c r="S114" s="87"/>
      <c r="T114" s="82" t="s">
        <v>138</v>
      </c>
      <c r="U114" s="82" t="s">
        <v>138</v>
      </c>
      <c r="V114" s="87"/>
      <c r="W114" s="82" t="s">
        <v>138</v>
      </c>
      <c r="X114" s="82" t="s">
        <v>138</v>
      </c>
      <c r="Y114" s="87"/>
      <c r="Z114" s="82" t="s">
        <v>138</v>
      </c>
      <c r="AA114" s="82" t="s">
        <v>138</v>
      </c>
      <c r="AB114" s="19"/>
    </row>
    <row r="115" spans="1:28" x14ac:dyDescent="0.25">
      <c r="A115" s="15" t="s">
        <v>147</v>
      </c>
      <c r="B115" s="81" t="s">
        <v>148</v>
      </c>
      <c r="C115" s="82">
        <f>C116+C117</f>
        <v>0</v>
      </c>
      <c r="D115" s="82" t="s">
        <v>138</v>
      </c>
      <c r="E115" s="83" t="s">
        <v>138</v>
      </c>
      <c r="F115" s="82">
        <f t="shared" ref="F115" si="97">F116+F117</f>
        <v>0</v>
      </c>
      <c r="G115" s="82" t="s">
        <v>138</v>
      </c>
      <c r="H115" s="82" t="s">
        <v>138</v>
      </c>
      <c r="I115" s="82">
        <f t="shared" ref="I115" si="98">I116+I117</f>
        <v>0</v>
      </c>
      <c r="J115" s="82" t="s">
        <v>138</v>
      </c>
      <c r="K115" s="82" t="s">
        <v>138</v>
      </c>
      <c r="L115" s="82">
        <f t="shared" ref="L115" si="99">L116+L117</f>
        <v>136825.70697</v>
      </c>
      <c r="M115" s="82" t="s">
        <v>138</v>
      </c>
      <c r="N115" s="82" t="s">
        <v>138</v>
      </c>
      <c r="O115" s="82">
        <f t="shared" ref="O115" si="100">O116+O117</f>
        <v>136825.70697</v>
      </c>
      <c r="P115" s="82" t="s">
        <v>138</v>
      </c>
      <c r="Q115" s="82" t="s">
        <v>138</v>
      </c>
      <c r="R115" s="19"/>
      <c r="S115" s="82">
        <f t="shared" ref="S115" si="101">S116+S117</f>
        <v>0</v>
      </c>
      <c r="T115" s="82" t="s">
        <v>138</v>
      </c>
      <c r="U115" s="82" t="s">
        <v>138</v>
      </c>
      <c r="V115" s="82">
        <f t="shared" ref="V115" si="102">V116+V117</f>
        <v>0</v>
      </c>
      <c r="W115" s="82" t="s">
        <v>138</v>
      </c>
      <c r="X115" s="82" t="s">
        <v>138</v>
      </c>
      <c r="Y115" s="82">
        <f t="shared" ref="Y115" si="103">Y116+Y117</f>
        <v>136825.70697</v>
      </c>
      <c r="Z115" s="82" t="s">
        <v>138</v>
      </c>
      <c r="AA115" s="82" t="s">
        <v>138</v>
      </c>
      <c r="AB115" s="19"/>
    </row>
    <row r="116" spans="1:28" x14ac:dyDescent="0.25">
      <c r="A116" s="24"/>
      <c r="B116" s="25" t="s">
        <v>149</v>
      </c>
      <c r="C116" s="87"/>
      <c r="D116" s="82" t="s">
        <v>138</v>
      </c>
      <c r="E116" s="83" t="s">
        <v>138</v>
      </c>
      <c r="F116" s="87"/>
      <c r="G116" s="82" t="s">
        <v>138</v>
      </c>
      <c r="H116" s="82" t="s">
        <v>138</v>
      </c>
      <c r="I116" s="87"/>
      <c r="J116" s="82" t="s">
        <v>138</v>
      </c>
      <c r="K116" s="82" t="s">
        <v>138</v>
      </c>
      <c r="L116" s="87">
        <v>136825.70697</v>
      </c>
      <c r="M116" s="82" t="s">
        <v>138</v>
      </c>
      <c r="N116" s="82" t="s">
        <v>138</v>
      </c>
      <c r="O116" s="87">
        <v>136825.70697</v>
      </c>
      <c r="P116" s="82" t="s">
        <v>138</v>
      </c>
      <c r="Q116" s="82" t="s">
        <v>138</v>
      </c>
      <c r="R116" s="19"/>
      <c r="S116" s="87">
        <v>0</v>
      </c>
      <c r="T116" s="82" t="s">
        <v>138</v>
      </c>
      <c r="U116" s="82" t="s">
        <v>138</v>
      </c>
      <c r="V116" s="87">
        <v>0</v>
      </c>
      <c r="W116" s="82" t="s">
        <v>138</v>
      </c>
      <c r="X116" s="82" t="s">
        <v>138</v>
      </c>
      <c r="Y116" s="87">
        <v>136825.70697</v>
      </c>
      <c r="Z116" s="82" t="s">
        <v>138</v>
      </c>
      <c r="AA116" s="82" t="s">
        <v>138</v>
      </c>
      <c r="AB116" s="19"/>
    </row>
    <row r="117" spans="1:28" x14ac:dyDescent="0.25">
      <c r="A117" s="15"/>
      <c r="B117" s="25" t="s">
        <v>145</v>
      </c>
      <c r="C117" s="84"/>
      <c r="D117" s="82" t="s">
        <v>138</v>
      </c>
      <c r="E117" s="83" t="s">
        <v>138</v>
      </c>
      <c r="F117" s="84"/>
      <c r="G117" s="82" t="s">
        <v>138</v>
      </c>
      <c r="H117" s="82" t="s">
        <v>138</v>
      </c>
      <c r="I117" s="84"/>
      <c r="J117" s="82" t="s">
        <v>138</v>
      </c>
      <c r="K117" s="82" t="s">
        <v>138</v>
      </c>
      <c r="L117" s="84"/>
      <c r="M117" s="82" t="s">
        <v>138</v>
      </c>
      <c r="N117" s="82" t="s">
        <v>138</v>
      </c>
      <c r="O117" s="84"/>
      <c r="P117" s="82" t="s">
        <v>138</v>
      </c>
      <c r="Q117" s="82" t="s">
        <v>138</v>
      </c>
      <c r="R117" s="19"/>
      <c r="S117" s="84"/>
      <c r="T117" s="82" t="s">
        <v>138</v>
      </c>
      <c r="U117" s="82" t="s">
        <v>138</v>
      </c>
      <c r="V117" s="84"/>
      <c r="W117" s="82" t="s">
        <v>138</v>
      </c>
      <c r="X117" s="82" t="s">
        <v>138</v>
      </c>
      <c r="Y117" s="84"/>
      <c r="Z117" s="82" t="s">
        <v>138</v>
      </c>
      <c r="AA117" s="82" t="s">
        <v>138</v>
      </c>
      <c r="AB117" s="19"/>
    </row>
    <row r="118" spans="1:28" ht="26.25" x14ac:dyDescent="0.25">
      <c r="A118" s="15" t="s">
        <v>150</v>
      </c>
      <c r="B118" s="81" t="s">
        <v>151</v>
      </c>
      <c r="C118" s="84">
        <f>C120</f>
        <v>380833.8346</v>
      </c>
      <c r="D118" s="82" t="s">
        <v>138</v>
      </c>
      <c r="E118" s="83" t="s">
        <v>138</v>
      </c>
      <c r="F118" s="84">
        <f>F120</f>
        <v>-4637.9112800000003</v>
      </c>
      <c r="G118" s="82" t="s">
        <v>138</v>
      </c>
      <c r="H118" s="82" t="s">
        <v>138</v>
      </c>
      <c r="I118" s="84">
        <f>I120</f>
        <v>35818.713600000003</v>
      </c>
      <c r="J118" s="82" t="s">
        <v>138</v>
      </c>
      <c r="K118" s="82" t="s">
        <v>138</v>
      </c>
      <c r="L118" s="84">
        <f>L120</f>
        <v>0</v>
      </c>
      <c r="M118" s="82" t="s">
        <v>138</v>
      </c>
      <c r="N118" s="82" t="s">
        <v>138</v>
      </c>
      <c r="O118" s="84">
        <f>O120</f>
        <v>0</v>
      </c>
      <c r="P118" s="82" t="s">
        <v>138</v>
      </c>
      <c r="Q118" s="82" t="s">
        <v>138</v>
      </c>
      <c r="R118" s="19"/>
      <c r="S118" s="84">
        <f>S120</f>
        <v>166.89126999999999</v>
      </c>
      <c r="T118" s="82" t="s">
        <v>138</v>
      </c>
      <c r="U118" s="82" t="s">
        <v>138</v>
      </c>
      <c r="V118" s="84">
        <f>V120</f>
        <v>-13720</v>
      </c>
      <c r="W118" s="82" t="s">
        <v>138</v>
      </c>
      <c r="X118" s="82" t="s">
        <v>138</v>
      </c>
      <c r="Y118" s="84">
        <f>Y120</f>
        <v>-500332</v>
      </c>
      <c r="Z118" s="82" t="s">
        <v>138</v>
      </c>
      <c r="AA118" s="82" t="s">
        <v>138</v>
      </c>
      <c r="AB118" s="19"/>
    </row>
    <row r="119" spans="1:28" x14ac:dyDescent="0.25">
      <c r="A119" s="15"/>
      <c r="B119" s="25" t="s">
        <v>17</v>
      </c>
      <c r="C119" s="84"/>
      <c r="D119" s="82"/>
      <c r="E119" s="83"/>
      <c r="F119" s="84"/>
      <c r="G119" s="82"/>
      <c r="H119" s="82"/>
      <c r="I119" s="84"/>
      <c r="J119" s="82"/>
      <c r="K119" s="82"/>
      <c r="L119" s="84"/>
      <c r="M119" s="82"/>
      <c r="N119" s="82"/>
      <c r="O119" s="84"/>
      <c r="P119" s="82"/>
      <c r="Q119" s="82"/>
      <c r="R119" s="19"/>
      <c r="S119" s="84"/>
      <c r="T119" s="82"/>
      <c r="U119" s="82"/>
      <c r="V119" s="84"/>
      <c r="W119" s="82"/>
      <c r="X119" s="82"/>
      <c r="Y119" s="84"/>
      <c r="Z119" s="82"/>
      <c r="AA119" s="82"/>
      <c r="AB119" s="19"/>
    </row>
    <row r="120" spans="1:28" ht="51" x14ac:dyDescent="0.25">
      <c r="A120" s="15"/>
      <c r="B120" s="88" t="s">
        <v>152</v>
      </c>
      <c r="C120" s="84">
        <v>380833.8346</v>
      </c>
      <c r="D120" s="82" t="s">
        <v>138</v>
      </c>
      <c r="E120" s="83" t="s">
        <v>138</v>
      </c>
      <c r="F120" s="84">
        <f>-4637.91128</f>
        <v>-4637.9112800000003</v>
      </c>
      <c r="G120" s="82" t="s">
        <v>138</v>
      </c>
      <c r="H120" s="82" t="s">
        <v>138</v>
      </c>
      <c r="I120" s="84">
        <f>31180.80232-F120</f>
        <v>35818.713600000003</v>
      </c>
      <c r="J120" s="82" t="s">
        <v>138</v>
      </c>
      <c r="K120" s="82" t="s">
        <v>138</v>
      </c>
      <c r="L120" s="84">
        <v>0</v>
      </c>
      <c r="M120" s="82" t="s">
        <v>138</v>
      </c>
      <c r="N120" s="82" t="s">
        <v>138</v>
      </c>
      <c r="O120" s="84">
        <v>0</v>
      </c>
      <c r="P120" s="82" t="s">
        <v>138</v>
      </c>
      <c r="Q120" s="82" t="s">
        <v>138</v>
      </c>
      <c r="R120" s="19"/>
      <c r="S120" s="84">
        <v>166.89126999999999</v>
      </c>
      <c r="T120" s="82" t="s">
        <v>138</v>
      </c>
      <c r="U120" s="82" t="s">
        <v>138</v>
      </c>
      <c r="V120" s="84">
        <v>-13720</v>
      </c>
      <c r="W120" s="82" t="s">
        <v>138</v>
      </c>
      <c r="X120" s="82" t="s">
        <v>138</v>
      </c>
      <c r="Y120" s="84">
        <v>-500332</v>
      </c>
      <c r="Z120" s="82" t="s">
        <v>138</v>
      </c>
      <c r="AA120" s="82" t="s">
        <v>138</v>
      </c>
      <c r="AB120" s="19"/>
    </row>
    <row r="121" spans="1:28" ht="25.5" x14ac:dyDescent="0.25">
      <c r="A121" s="15"/>
      <c r="B121" s="32" t="s">
        <v>153</v>
      </c>
      <c r="C121" s="84"/>
      <c r="D121" s="82" t="s">
        <v>138</v>
      </c>
      <c r="E121" s="83" t="s">
        <v>138</v>
      </c>
      <c r="F121" s="84"/>
      <c r="G121" s="82" t="s">
        <v>138</v>
      </c>
      <c r="H121" s="82" t="s">
        <v>138</v>
      </c>
      <c r="I121" s="84"/>
      <c r="J121" s="82" t="s">
        <v>138</v>
      </c>
      <c r="K121" s="82" t="s">
        <v>138</v>
      </c>
      <c r="L121" s="84"/>
      <c r="M121" s="82" t="s">
        <v>138</v>
      </c>
      <c r="N121" s="82" t="s">
        <v>138</v>
      </c>
      <c r="O121" s="84"/>
      <c r="P121" s="82" t="s">
        <v>138</v>
      </c>
      <c r="Q121" s="82" t="s">
        <v>138</v>
      </c>
      <c r="R121" s="19"/>
      <c r="S121" s="84"/>
      <c r="T121" s="82" t="s">
        <v>138</v>
      </c>
      <c r="U121" s="82" t="s">
        <v>138</v>
      </c>
      <c r="V121" s="84"/>
      <c r="W121" s="82" t="s">
        <v>138</v>
      </c>
      <c r="X121" s="82" t="s">
        <v>138</v>
      </c>
      <c r="Y121" s="84"/>
      <c r="Z121" s="82" t="s">
        <v>138</v>
      </c>
      <c r="AA121" s="82" t="s">
        <v>138</v>
      </c>
      <c r="AB121" s="19"/>
    </row>
    <row r="122" spans="1:28" ht="25.5" x14ac:dyDescent="0.25">
      <c r="A122" s="15"/>
      <c r="B122" s="32" t="s">
        <v>154</v>
      </c>
      <c r="C122" s="84"/>
      <c r="D122" s="89" t="s">
        <v>138</v>
      </c>
      <c r="E122" s="83" t="s">
        <v>138</v>
      </c>
      <c r="F122" s="90"/>
      <c r="G122" s="82" t="s">
        <v>138</v>
      </c>
      <c r="H122" s="82" t="s">
        <v>138</v>
      </c>
      <c r="I122" s="84"/>
      <c r="J122" s="82" t="s">
        <v>138</v>
      </c>
      <c r="K122" s="82" t="s">
        <v>138</v>
      </c>
      <c r="L122" s="91"/>
      <c r="M122" s="82" t="s">
        <v>138</v>
      </c>
      <c r="N122" s="82" t="s">
        <v>138</v>
      </c>
      <c r="O122" s="91"/>
      <c r="P122" s="82" t="s">
        <v>138</v>
      </c>
      <c r="Q122" s="82" t="s">
        <v>138</v>
      </c>
      <c r="R122" s="19"/>
      <c r="S122" s="91"/>
      <c r="T122" s="82" t="s">
        <v>138</v>
      </c>
      <c r="U122" s="82" t="s">
        <v>138</v>
      </c>
      <c r="V122" s="91"/>
      <c r="W122" s="82" t="s">
        <v>138</v>
      </c>
      <c r="X122" s="82" t="s">
        <v>138</v>
      </c>
      <c r="Y122" s="91"/>
      <c r="Z122" s="82" t="s">
        <v>138</v>
      </c>
      <c r="AA122" s="82" t="s">
        <v>138</v>
      </c>
      <c r="AB122" s="19"/>
    </row>
    <row r="123" spans="1:28" ht="20.25" customHeight="1" x14ac:dyDescent="0.25">
      <c r="A123" s="92" t="s">
        <v>155</v>
      </c>
      <c r="B123" s="93" t="s">
        <v>156</v>
      </c>
      <c r="C123" s="89">
        <f>C124+C125</f>
        <v>578762.48436</v>
      </c>
      <c r="D123" s="89" t="s">
        <v>138</v>
      </c>
      <c r="E123" s="94" t="s">
        <v>138</v>
      </c>
      <c r="F123" s="89">
        <f>F124+F125</f>
        <v>237748.53010999999</v>
      </c>
      <c r="G123" s="89" t="s">
        <v>138</v>
      </c>
      <c r="H123" s="89" t="s">
        <v>138</v>
      </c>
      <c r="I123" s="89">
        <f>I124+I125</f>
        <v>21068.81797</v>
      </c>
      <c r="J123" s="89" t="s">
        <v>138</v>
      </c>
      <c r="K123" s="82" t="s">
        <v>138</v>
      </c>
      <c r="L123" s="82" t="s">
        <v>138</v>
      </c>
      <c r="M123" s="82" t="s">
        <v>138</v>
      </c>
      <c r="N123" s="89" t="s">
        <v>138</v>
      </c>
      <c r="O123" s="89" t="s">
        <v>138</v>
      </c>
      <c r="P123" s="89" t="s">
        <v>138</v>
      </c>
      <c r="Q123" s="89" t="s">
        <v>138</v>
      </c>
      <c r="R123" s="19"/>
      <c r="S123" s="89">
        <f>S124+S125</f>
        <v>609680.72053000005</v>
      </c>
      <c r="T123" s="89" t="s">
        <v>138</v>
      </c>
      <c r="U123" s="89" t="s">
        <v>138</v>
      </c>
      <c r="V123" s="89">
        <f>V124+V125</f>
        <v>564287.86206000019</v>
      </c>
      <c r="W123" s="82" t="s">
        <v>138</v>
      </c>
      <c r="X123" s="82" t="s">
        <v>138</v>
      </c>
      <c r="Y123" s="89">
        <f>Y124+Y125</f>
        <v>2763.9908100000266</v>
      </c>
      <c r="Z123" s="82" t="s">
        <v>138</v>
      </c>
      <c r="AA123" s="82" t="s">
        <v>138</v>
      </c>
      <c r="AB123" s="19"/>
    </row>
    <row r="124" spans="1:28" x14ac:dyDescent="0.25">
      <c r="A124" s="24"/>
      <c r="B124" s="25" t="s">
        <v>157</v>
      </c>
      <c r="C124" s="95">
        <f>6026.86109+1274</f>
        <v>7300.8610900000003</v>
      </c>
      <c r="D124" s="82" t="s">
        <v>138</v>
      </c>
      <c r="E124" s="83" t="s">
        <v>138</v>
      </c>
      <c r="F124" s="95">
        <f>27040.07717</f>
        <v>27040.07717</v>
      </c>
      <c r="G124" s="82" t="s">
        <v>138</v>
      </c>
      <c r="H124" s="82" t="s">
        <v>138</v>
      </c>
      <c r="I124" s="87">
        <f>26812.27152+5160.82212-F124</f>
        <v>4933.0164699999987</v>
      </c>
      <c r="J124" s="82" t="s">
        <v>138</v>
      </c>
      <c r="K124" s="82" t="s">
        <v>138</v>
      </c>
      <c r="L124" s="82" t="s">
        <v>138</v>
      </c>
      <c r="M124" s="82" t="s">
        <v>138</v>
      </c>
      <c r="N124" s="89" t="s">
        <v>138</v>
      </c>
      <c r="O124" s="89" t="s">
        <v>138</v>
      </c>
      <c r="P124" s="89" t="s">
        <v>138</v>
      </c>
      <c r="Q124" s="89" t="s">
        <v>138</v>
      </c>
      <c r="R124" s="19"/>
      <c r="S124" s="96">
        <f>1044.84015+1274+235</f>
        <v>2553.84015</v>
      </c>
      <c r="T124" s="89" t="s">
        <v>138</v>
      </c>
      <c r="U124" s="89" t="s">
        <v>138</v>
      </c>
      <c r="V124" s="96">
        <f>S124+W105</f>
        <v>1381.5601500000012</v>
      </c>
      <c r="W124" s="82" t="s">
        <v>138</v>
      </c>
      <c r="X124" s="82" t="s">
        <v>138</v>
      </c>
      <c r="Y124" s="96">
        <f>C124+Z105</f>
        <v>-213.92155999994975</v>
      </c>
      <c r="Z124" s="82" t="s">
        <v>138</v>
      </c>
      <c r="AA124" s="82" t="s">
        <v>138</v>
      </c>
      <c r="AB124" s="19"/>
    </row>
    <row r="125" spans="1:28" x14ac:dyDescent="0.25">
      <c r="A125" s="97"/>
      <c r="B125" s="25" t="s">
        <v>158</v>
      </c>
      <c r="C125" s="84">
        <f>578762.48436-C124</f>
        <v>571461.62326999998</v>
      </c>
      <c r="D125" s="82" t="s">
        <v>138</v>
      </c>
      <c r="E125" s="83" t="s">
        <v>138</v>
      </c>
      <c r="F125" s="84">
        <f>210708.45294</f>
        <v>210708.45293999999</v>
      </c>
      <c r="G125" s="82" t="s">
        <v>138</v>
      </c>
      <c r="H125" s="82" t="s">
        <v>138</v>
      </c>
      <c r="I125" s="84">
        <f>226844.25444-F125</f>
        <v>16135.801500000001</v>
      </c>
      <c r="J125" s="82" t="s">
        <v>138</v>
      </c>
      <c r="K125" s="82" t="s">
        <v>138</v>
      </c>
      <c r="L125" s="82" t="s">
        <v>138</v>
      </c>
      <c r="M125" s="82" t="s">
        <v>138</v>
      </c>
      <c r="N125" s="82" t="s">
        <v>138</v>
      </c>
      <c r="O125" s="82" t="s">
        <v>138</v>
      </c>
      <c r="P125" s="89" t="s">
        <v>138</v>
      </c>
      <c r="Q125" s="89" t="s">
        <v>138</v>
      </c>
      <c r="R125" s="19"/>
      <c r="S125" s="91">
        <f>609680.72053-S124</f>
        <v>607126.8803800001</v>
      </c>
      <c r="T125" s="89" t="s">
        <v>138</v>
      </c>
      <c r="U125" s="89" t="s">
        <v>138</v>
      </c>
      <c r="V125" s="91">
        <f>S125+X105+V110</f>
        <v>562906.30191000015</v>
      </c>
      <c r="W125" s="82" t="s">
        <v>138</v>
      </c>
      <c r="X125" s="82" t="s">
        <v>138</v>
      </c>
      <c r="Y125" s="91">
        <f>C125+AA105+Y110+Y115+Y118</f>
        <v>2977.9123699999764</v>
      </c>
      <c r="Z125" s="82" t="s">
        <v>138</v>
      </c>
      <c r="AA125" s="82" t="s">
        <v>138</v>
      </c>
      <c r="AB125" s="19"/>
    </row>
    <row r="126" spans="1:28" x14ac:dyDescent="0.25">
      <c r="A126" s="97"/>
      <c r="B126" s="25" t="s">
        <v>7</v>
      </c>
      <c r="C126" s="84"/>
      <c r="D126" s="82"/>
      <c r="E126" s="83"/>
      <c r="F126" s="84"/>
      <c r="G126" s="82"/>
      <c r="H126" s="82"/>
      <c r="I126" s="84"/>
      <c r="J126" s="82"/>
      <c r="K126" s="82"/>
      <c r="L126" s="82"/>
      <c r="M126" s="82"/>
      <c r="N126" s="82"/>
      <c r="O126" s="82"/>
      <c r="P126" s="89"/>
      <c r="Q126" s="89"/>
      <c r="R126" s="19"/>
      <c r="S126" s="91"/>
      <c r="T126" s="89"/>
      <c r="U126" s="89"/>
      <c r="V126" s="91"/>
      <c r="W126" s="82"/>
      <c r="X126" s="82"/>
      <c r="Y126" s="91"/>
      <c r="Z126" s="82"/>
      <c r="AA126" s="82"/>
      <c r="AB126" s="19"/>
    </row>
    <row r="127" spans="1:28" ht="51.75" x14ac:dyDescent="0.25">
      <c r="A127" s="98"/>
      <c r="B127" s="21" t="s">
        <v>159</v>
      </c>
      <c r="C127" s="84">
        <v>1274</v>
      </c>
      <c r="D127" s="82" t="s">
        <v>138</v>
      </c>
      <c r="E127" s="83" t="s">
        <v>138</v>
      </c>
      <c r="F127" s="84">
        <f>9106.2716</f>
        <v>9106.2716</v>
      </c>
      <c r="G127" s="82" t="s">
        <v>138</v>
      </c>
      <c r="H127" s="82" t="s">
        <v>138</v>
      </c>
      <c r="I127" s="84">
        <f>3000+1274+45.15066+383.121+120+212-F127</f>
        <v>-4071.9999399999997</v>
      </c>
      <c r="J127" s="82" t="s">
        <v>138</v>
      </c>
      <c r="K127" s="82" t="s">
        <v>138</v>
      </c>
      <c r="L127" s="82" t="s">
        <v>138</v>
      </c>
      <c r="M127" s="82" t="s">
        <v>138</v>
      </c>
      <c r="N127" s="82" t="s">
        <v>138</v>
      </c>
      <c r="O127" s="82" t="s">
        <v>138</v>
      </c>
      <c r="P127" s="89" t="s">
        <v>138</v>
      </c>
      <c r="Q127" s="89" t="s">
        <v>138</v>
      </c>
      <c r="R127" s="19"/>
      <c r="S127" s="91">
        <f>1274+210</f>
        <v>1484</v>
      </c>
      <c r="T127" s="89" t="s">
        <v>138</v>
      </c>
      <c r="U127" s="89" t="s">
        <v>138</v>
      </c>
      <c r="V127" s="91">
        <f>S127</f>
        <v>1484</v>
      </c>
      <c r="W127" s="82" t="s">
        <v>138</v>
      </c>
      <c r="X127" s="82" t="s">
        <v>138</v>
      </c>
      <c r="Y127" s="91">
        <v>0</v>
      </c>
      <c r="Z127" s="82" t="s">
        <v>138</v>
      </c>
      <c r="AA127" s="82" t="s">
        <v>138</v>
      </c>
      <c r="AB127" s="19"/>
    </row>
    <row r="128" spans="1:28" s="167" customFormat="1" ht="26.25" x14ac:dyDescent="0.25">
      <c r="A128" s="98"/>
      <c r="B128" s="21" t="s">
        <v>212</v>
      </c>
      <c r="C128" s="84">
        <f>498991.51042+1340.6491</f>
        <v>500332.15951999999</v>
      </c>
      <c r="D128" s="82" t="s">
        <v>138</v>
      </c>
      <c r="E128" s="82" t="s">
        <v>138</v>
      </c>
      <c r="F128" s="84"/>
      <c r="G128" s="82" t="s">
        <v>138</v>
      </c>
      <c r="H128" s="82" t="s">
        <v>138</v>
      </c>
      <c r="I128" s="84"/>
      <c r="J128" s="82" t="s">
        <v>138</v>
      </c>
      <c r="K128" s="82" t="s">
        <v>138</v>
      </c>
      <c r="L128" s="82" t="s">
        <v>138</v>
      </c>
      <c r="M128" s="82" t="s">
        <v>138</v>
      </c>
      <c r="N128" s="82" t="s">
        <v>138</v>
      </c>
      <c r="O128" s="82" t="s">
        <v>138</v>
      </c>
      <c r="P128" s="82" t="s">
        <v>138</v>
      </c>
      <c r="Q128" s="82" t="s">
        <v>138</v>
      </c>
      <c r="R128" s="51"/>
      <c r="S128" s="91">
        <f>1507.54037+461106.76201</f>
        <v>462614.30238000001</v>
      </c>
      <c r="T128" s="82" t="s">
        <v>138</v>
      </c>
      <c r="U128" s="82" t="s">
        <v>138</v>
      </c>
      <c r="V128" s="91">
        <f>S128+V118</f>
        <v>448894.30238000001</v>
      </c>
      <c r="W128" s="82" t="s">
        <v>138</v>
      </c>
      <c r="X128" s="82" t="s">
        <v>138</v>
      </c>
      <c r="Y128" s="91">
        <v>0</v>
      </c>
      <c r="Z128" s="82" t="s">
        <v>138</v>
      </c>
      <c r="AA128" s="82" t="s">
        <v>138</v>
      </c>
      <c r="AB128" s="51"/>
    </row>
    <row r="129" spans="1:28" ht="26.25" x14ac:dyDescent="0.25">
      <c r="A129" s="92" t="s">
        <v>160</v>
      </c>
      <c r="B129" s="81" t="s">
        <v>161</v>
      </c>
      <c r="C129" s="91"/>
      <c r="D129" s="84"/>
      <c r="E129" s="99"/>
      <c r="F129" s="84"/>
      <c r="G129" s="84"/>
      <c r="H129" s="84"/>
      <c r="I129" s="84"/>
      <c r="J129" s="84"/>
      <c r="K129" s="84"/>
      <c r="L129" s="82" t="s">
        <v>138</v>
      </c>
      <c r="M129" s="82" t="s">
        <v>138</v>
      </c>
      <c r="N129" s="82" t="s">
        <v>138</v>
      </c>
      <c r="O129" s="82" t="s">
        <v>138</v>
      </c>
      <c r="P129" s="82" t="s">
        <v>138</v>
      </c>
      <c r="Q129" s="82" t="s">
        <v>138</v>
      </c>
      <c r="R129" s="100" t="s">
        <v>138</v>
      </c>
      <c r="S129" s="91">
        <v>0</v>
      </c>
      <c r="T129" s="91"/>
      <c r="U129" s="91"/>
      <c r="V129" s="91"/>
      <c r="W129" s="91"/>
      <c r="X129" s="91"/>
      <c r="Y129" s="91"/>
      <c r="Z129" s="91"/>
      <c r="AA129" s="91"/>
      <c r="AB129" s="19" t="e">
        <f t="shared" si="84"/>
        <v>#DIV/0!</v>
      </c>
    </row>
    <row r="130" spans="1:28" s="169" customFormat="1" ht="20.25" customHeight="1" x14ac:dyDescent="0.25">
      <c r="A130" s="92" t="s">
        <v>162</v>
      </c>
      <c r="B130" s="101" t="s">
        <v>163</v>
      </c>
      <c r="C130" s="102">
        <f>SUM(C131:C144)</f>
        <v>3333718.34002</v>
      </c>
      <c r="D130" s="102">
        <f t="shared" ref="D130:Z130" si="104">SUM(D131:D144)</f>
        <v>1951982.21104</v>
      </c>
      <c r="E130" s="168">
        <f>C130-D130</f>
        <v>1381736.12898</v>
      </c>
      <c r="F130" s="102">
        <f t="shared" si="104"/>
        <v>1083867.8506299998</v>
      </c>
      <c r="G130" s="102">
        <f t="shared" si="104"/>
        <v>571812.75551000005</v>
      </c>
      <c r="H130" s="168">
        <f>F130-G130</f>
        <v>512055.09511999972</v>
      </c>
      <c r="I130" s="102">
        <f t="shared" si="104"/>
        <v>297936.15651999996</v>
      </c>
      <c r="J130" s="102">
        <f t="shared" si="104"/>
        <v>191962.16898000002</v>
      </c>
      <c r="K130" s="168">
        <f>I130-J130</f>
        <v>105973.98753999994</v>
      </c>
      <c r="L130" s="102">
        <f>SUM(L131:L144)</f>
        <v>3147176.2886099997</v>
      </c>
      <c r="M130" s="102">
        <f t="shared" si="104"/>
        <v>1741913.41864</v>
      </c>
      <c r="N130" s="168">
        <f>L130-M130</f>
        <v>1405262.8699699997</v>
      </c>
      <c r="O130" s="102">
        <f t="shared" si="104"/>
        <v>3171805.10072</v>
      </c>
      <c r="P130" s="102">
        <f t="shared" si="104"/>
        <v>1695646.82381</v>
      </c>
      <c r="Q130" s="168">
        <f>O130-P130</f>
        <v>1476158.27691</v>
      </c>
      <c r="R130" s="19">
        <f t="shared" ref="R130:R145" si="105">Q130/E130</f>
        <v>1.0683358753886696</v>
      </c>
      <c r="S130" s="104">
        <f t="shared" si="104"/>
        <v>1333680.66808</v>
      </c>
      <c r="T130" s="104">
        <f>SUM(T131:T144)</f>
        <v>748166.61764999991</v>
      </c>
      <c r="U130" s="168">
        <f>S130-T130</f>
        <v>585514.05043000006</v>
      </c>
      <c r="V130" s="104">
        <f t="shared" si="104"/>
        <v>287414.5</v>
      </c>
      <c r="W130" s="104">
        <f t="shared" si="104"/>
        <v>205542.19999999998</v>
      </c>
      <c r="X130" s="168">
        <f>V130-W130</f>
        <v>81872.300000000017</v>
      </c>
      <c r="Y130" s="104">
        <f t="shared" si="104"/>
        <v>3174089.10072</v>
      </c>
      <c r="Z130" s="104">
        <f t="shared" si="104"/>
        <v>1695646.82381</v>
      </c>
      <c r="AA130" s="168">
        <f>Y130-Z130</f>
        <v>1478442.27691</v>
      </c>
      <c r="AB130" s="19">
        <f t="shared" si="84"/>
        <v>1.0699888682807972</v>
      </c>
    </row>
    <row r="131" spans="1:28" x14ac:dyDescent="0.25">
      <c r="A131" s="105"/>
      <c r="B131" s="106" t="s">
        <v>164</v>
      </c>
      <c r="C131" s="107">
        <v>352317.56187999999</v>
      </c>
      <c r="D131" s="107">
        <v>2823.3892700000001</v>
      </c>
      <c r="E131" s="103">
        <f>C131-D131</f>
        <v>349494.17261000001</v>
      </c>
      <c r="F131" s="108">
        <f>144069.87502</f>
        <v>144069.87502000001</v>
      </c>
      <c r="G131" s="108">
        <f>1474.56314</f>
        <v>1474.56314</v>
      </c>
      <c r="H131" s="103">
        <f>F131-G131</f>
        <v>142595.31187999999</v>
      </c>
      <c r="I131" s="108">
        <f>172590.13818-F131</f>
        <v>28520.263160000002</v>
      </c>
      <c r="J131" s="108">
        <f>1765.98115-G131</f>
        <v>291.41801000000009</v>
      </c>
      <c r="K131" s="103">
        <f>I131-J131</f>
        <v>28228.845150000001</v>
      </c>
      <c r="L131" s="108">
        <v>363041.09779999999</v>
      </c>
      <c r="M131" s="108">
        <v>1111.0978</v>
      </c>
      <c r="N131" s="103">
        <f>L131-M131</f>
        <v>361930</v>
      </c>
      <c r="O131" s="109">
        <v>369164.85116000002</v>
      </c>
      <c r="P131" s="109">
        <v>2449.4978000000001</v>
      </c>
      <c r="Q131" s="103">
        <f>O131-P131</f>
        <v>366715.35336000001</v>
      </c>
      <c r="R131" s="19">
        <f t="shared" si="105"/>
        <v>1.0492745862438659</v>
      </c>
      <c r="S131" s="110">
        <v>157229.68116000001</v>
      </c>
      <c r="T131" s="110">
        <v>1780.8725400000001</v>
      </c>
      <c r="U131" s="103">
        <f>S131-T131</f>
        <v>155448.80862</v>
      </c>
      <c r="V131" s="110">
        <v>34112.400000000001</v>
      </c>
      <c r="W131" s="110">
        <v>315.39999999999998</v>
      </c>
      <c r="X131" s="103">
        <f>V131-W131</f>
        <v>33797</v>
      </c>
      <c r="Y131" s="110">
        <f>O131</f>
        <v>369164.85116000002</v>
      </c>
      <c r="Z131" s="110">
        <f>P131</f>
        <v>2449.4978000000001</v>
      </c>
      <c r="AA131" s="103">
        <f>Y131-Z131</f>
        <v>366715.35336000001</v>
      </c>
      <c r="AB131" s="19">
        <f t="shared" si="84"/>
        <v>1.0492745862438659</v>
      </c>
    </row>
    <row r="132" spans="1:28" x14ac:dyDescent="0.25">
      <c r="A132" s="105"/>
      <c r="B132" s="111" t="s">
        <v>165</v>
      </c>
      <c r="C132" s="107">
        <v>4804.4948100000001</v>
      </c>
      <c r="D132" s="107">
        <v>2169.3738499999999</v>
      </c>
      <c r="E132" s="103">
        <f t="shared" ref="E132:E144" si="106">C132-D132</f>
        <v>2635.1209600000002</v>
      </c>
      <c r="F132" s="112">
        <f>473.41283</f>
        <v>473.41282999999999</v>
      </c>
      <c r="G132" s="112">
        <f>F132</f>
        <v>473.41282999999999</v>
      </c>
      <c r="H132" s="103">
        <f t="shared" ref="H132:H144" si="107">F132-G132</f>
        <v>0</v>
      </c>
      <c r="I132" s="112">
        <f>643.48138-F132</f>
        <v>170.06854999999996</v>
      </c>
      <c r="J132" s="112">
        <f>643.48138-G132</f>
        <v>170.06854999999996</v>
      </c>
      <c r="K132" s="103">
        <f t="shared" ref="K132:K144" si="108">I132-J132</f>
        <v>0</v>
      </c>
      <c r="L132" s="112">
        <v>2501.2058000000002</v>
      </c>
      <c r="M132" s="112">
        <v>2501.2058000000002</v>
      </c>
      <c r="N132" s="103">
        <f t="shared" ref="N132:N144" si="109">L132-M132</f>
        <v>0</v>
      </c>
      <c r="O132" s="113">
        <v>2567.10646</v>
      </c>
      <c r="P132" s="113">
        <v>2567.10646</v>
      </c>
      <c r="Q132" s="103">
        <f t="shared" ref="Q132:Q144" si="110">O132-P132</f>
        <v>0</v>
      </c>
      <c r="R132" s="19">
        <f t="shared" si="105"/>
        <v>0</v>
      </c>
      <c r="S132" s="95">
        <v>930.80223000000001</v>
      </c>
      <c r="T132" s="95">
        <v>930.80223000000001</v>
      </c>
      <c r="U132" s="103">
        <f>S132-T132</f>
        <v>0</v>
      </c>
      <c r="V132" s="95">
        <v>155.19999999999999</v>
      </c>
      <c r="W132" s="95">
        <f>V132</f>
        <v>155.19999999999999</v>
      </c>
      <c r="X132" s="103">
        <f t="shared" ref="X132:X144" si="111">V132-W132</f>
        <v>0</v>
      </c>
      <c r="Y132" s="110">
        <f t="shared" ref="Y132:Y143" si="112">O132</f>
        <v>2567.10646</v>
      </c>
      <c r="Z132" s="110">
        <f t="shared" ref="Z132:Z143" si="113">P132</f>
        <v>2567.10646</v>
      </c>
      <c r="AA132" s="103">
        <f t="shared" ref="AA132:AA144" si="114">Y132-Z132</f>
        <v>0</v>
      </c>
      <c r="AB132" s="19">
        <f t="shared" si="84"/>
        <v>0</v>
      </c>
    </row>
    <row r="133" spans="1:28" x14ac:dyDescent="0.25">
      <c r="A133" s="105"/>
      <c r="B133" s="111" t="s">
        <v>166</v>
      </c>
      <c r="C133" s="95">
        <v>15386.383180000001</v>
      </c>
      <c r="D133" s="95">
        <v>2829.6790299999998</v>
      </c>
      <c r="E133" s="103">
        <f t="shared" si="106"/>
        <v>12556.704150000001</v>
      </c>
      <c r="F133" s="112">
        <f>6712.61806</f>
        <v>6712.6180599999998</v>
      </c>
      <c r="G133" s="112">
        <f>1134.47768</f>
        <v>1134.47768</v>
      </c>
      <c r="H133" s="103">
        <f t="shared" si="107"/>
        <v>5578.1403799999998</v>
      </c>
      <c r="I133" s="112">
        <f>8100.4677-F133</f>
        <v>1387.8496400000004</v>
      </c>
      <c r="J133" s="112">
        <f>1619.98626-G133</f>
        <v>485.50857999999994</v>
      </c>
      <c r="K133" s="103">
        <f t="shared" si="108"/>
        <v>902.34106000000043</v>
      </c>
      <c r="L133" s="112">
        <v>19294.286479999999</v>
      </c>
      <c r="M133" s="112">
        <v>3099.3864800000001</v>
      </c>
      <c r="N133" s="103">
        <f t="shared" si="109"/>
        <v>16194.899999999998</v>
      </c>
      <c r="O133" s="113">
        <v>20025.18648</v>
      </c>
      <c r="P133" s="113">
        <v>3099.3864800000001</v>
      </c>
      <c r="Q133" s="103">
        <f t="shared" si="110"/>
        <v>16925.8</v>
      </c>
      <c r="R133" s="19">
        <f t="shared" si="105"/>
        <v>1.3479492546617018</v>
      </c>
      <c r="S133" s="95">
        <v>10280.96607</v>
      </c>
      <c r="T133" s="95">
        <v>1610.32421</v>
      </c>
      <c r="U133" s="103">
        <f t="shared" ref="U133:U144" si="115">S133-T133</f>
        <v>8670.6418599999997</v>
      </c>
      <c r="V133" s="95">
        <v>1415.2</v>
      </c>
      <c r="W133" s="95">
        <v>512.6</v>
      </c>
      <c r="X133" s="103">
        <f t="shared" si="111"/>
        <v>902.6</v>
      </c>
      <c r="Y133" s="110">
        <f t="shared" si="112"/>
        <v>20025.18648</v>
      </c>
      <c r="Z133" s="110">
        <f t="shared" si="113"/>
        <v>3099.3864800000001</v>
      </c>
      <c r="AA133" s="103">
        <f t="shared" si="114"/>
        <v>16925.8</v>
      </c>
      <c r="AB133" s="19">
        <f t="shared" si="84"/>
        <v>1.3479492546617018</v>
      </c>
    </row>
    <row r="134" spans="1:28" x14ac:dyDescent="0.25">
      <c r="A134" s="105"/>
      <c r="B134" s="111" t="s">
        <v>167</v>
      </c>
      <c r="C134" s="113">
        <v>134302.01684</v>
      </c>
      <c r="D134" s="113">
        <v>56925.578119999998</v>
      </c>
      <c r="E134" s="103">
        <f t="shared" si="106"/>
        <v>77376.438720000006</v>
      </c>
      <c r="F134" s="112">
        <f>25305.15652</f>
        <v>25305.15652</v>
      </c>
      <c r="G134" s="112">
        <f>1059.06798</f>
        <v>1059.06798</v>
      </c>
      <c r="H134" s="103">
        <f t="shared" si="107"/>
        <v>24246.088540000001</v>
      </c>
      <c r="I134" s="112">
        <f>27781.63261-F134</f>
        <v>2476.4760900000001</v>
      </c>
      <c r="J134" s="112">
        <f>3252.18533-G134</f>
        <v>2193.1173499999995</v>
      </c>
      <c r="K134" s="103">
        <f t="shared" si="108"/>
        <v>283.35874000000058</v>
      </c>
      <c r="L134" s="112">
        <v>114752.37227000001</v>
      </c>
      <c r="M134" s="112">
        <v>52146.37227</v>
      </c>
      <c r="N134" s="103">
        <f t="shared" si="109"/>
        <v>62606.000000000007</v>
      </c>
      <c r="O134" s="113">
        <v>134738.98532000001</v>
      </c>
      <c r="P134" s="113">
        <v>70046.433380000002</v>
      </c>
      <c r="Q134" s="103">
        <f t="shared" si="110"/>
        <v>64692.551940000005</v>
      </c>
      <c r="R134" s="19">
        <f t="shared" si="105"/>
        <v>0.83607559368428896</v>
      </c>
      <c r="S134" s="95">
        <v>36204.71056</v>
      </c>
      <c r="T134" s="95">
        <v>10810.46257</v>
      </c>
      <c r="U134" s="103">
        <f t="shared" si="115"/>
        <v>25394.24799</v>
      </c>
      <c r="V134" s="95">
        <v>7415.6</v>
      </c>
      <c r="W134" s="95">
        <v>2489.6</v>
      </c>
      <c r="X134" s="103">
        <f t="shared" si="111"/>
        <v>4926</v>
      </c>
      <c r="Y134" s="110">
        <f t="shared" si="112"/>
        <v>134738.98532000001</v>
      </c>
      <c r="Z134" s="110">
        <f t="shared" si="113"/>
        <v>70046.433380000002</v>
      </c>
      <c r="AA134" s="103">
        <f t="shared" si="114"/>
        <v>64692.551940000005</v>
      </c>
      <c r="AB134" s="19">
        <f t="shared" si="84"/>
        <v>0.83607559368428896</v>
      </c>
    </row>
    <row r="135" spans="1:28" x14ac:dyDescent="0.25">
      <c r="A135" s="105"/>
      <c r="B135" s="111" t="s">
        <v>168</v>
      </c>
      <c r="C135" s="113">
        <v>560201.83079000004</v>
      </c>
      <c r="D135" s="113">
        <v>304711.04715</v>
      </c>
      <c r="E135" s="103">
        <f t="shared" si="106"/>
        <v>255490.78364000004</v>
      </c>
      <c r="F135" s="112">
        <f>60708.30315</f>
        <v>60708.30315</v>
      </c>
      <c r="G135" s="112">
        <f>11462.6632</f>
        <v>11462.663200000001</v>
      </c>
      <c r="H135" s="103">
        <f t="shared" si="107"/>
        <v>49245.639949999997</v>
      </c>
      <c r="I135" s="112">
        <f>144241.45805-F135</f>
        <v>83533.154899999994</v>
      </c>
      <c r="J135" s="112">
        <f>73204.32412-G135</f>
        <v>61741.660920000002</v>
      </c>
      <c r="K135" s="103">
        <f t="shared" si="108"/>
        <v>21791.493979999992</v>
      </c>
      <c r="L135" s="112">
        <v>270607.20919999998</v>
      </c>
      <c r="M135" s="112">
        <v>60062.639199999998</v>
      </c>
      <c r="N135" s="103">
        <f t="shared" si="109"/>
        <v>210544.56999999998</v>
      </c>
      <c r="O135" s="113">
        <v>373761.32737000001</v>
      </c>
      <c r="P135" s="113">
        <v>128775.23396</v>
      </c>
      <c r="Q135" s="103">
        <f t="shared" si="110"/>
        <v>244986.09341000003</v>
      </c>
      <c r="R135" s="19">
        <f t="shared" si="105"/>
        <v>0.95888426940362093</v>
      </c>
      <c r="S135" s="95">
        <v>136414.58278</v>
      </c>
      <c r="T135" s="95">
        <v>71297.417650000003</v>
      </c>
      <c r="U135" s="103">
        <f t="shared" si="115"/>
        <v>65117.165129999994</v>
      </c>
      <c r="V135" s="95">
        <v>44789.3</v>
      </c>
      <c r="W135" s="95">
        <v>32745.3</v>
      </c>
      <c r="X135" s="103">
        <f t="shared" si="111"/>
        <v>12044.000000000004</v>
      </c>
      <c r="Y135" s="110">
        <f t="shared" si="112"/>
        <v>373761.32737000001</v>
      </c>
      <c r="Z135" s="110">
        <f t="shared" si="113"/>
        <v>128775.23396</v>
      </c>
      <c r="AA135" s="103">
        <f t="shared" si="114"/>
        <v>244986.09341000003</v>
      </c>
      <c r="AB135" s="19">
        <f t="shared" si="84"/>
        <v>0.95888426940362093</v>
      </c>
    </row>
    <row r="136" spans="1:28" x14ac:dyDescent="0.25">
      <c r="A136" s="105"/>
      <c r="B136" s="111" t="s">
        <v>169</v>
      </c>
      <c r="C136" s="113">
        <v>2511.1727999999998</v>
      </c>
      <c r="D136" s="113">
        <v>0</v>
      </c>
      <c r="E136" s="103">
        <f t="shared" si="106"/>
        <v>2511.1727999999998</v>
      </c>
      <c r="F136" s="112">
        <f>0.0004</f>
        <v>4.0000000000000002E-4</v>
      </c>
      <c r="G136" s="112"/>
      <c r="H136" s="103">
        <f t="shared" si="107"/>
        <v>4.0000000000000002E-4</v>
      </c>
      <c r="I136" s="112">
        <f>0.0004-F136</f>
        <v>0</v>
      </c>
      <c r="J136" s="112">
        <v>0</v>
      </c>
      <c r="K136" s="103">
        <f t="shared" si="108"/>
        <v>0</v>
      </c>
      <c r="L136" s="112">
        <v>12500</v>
      </c>
      <c r="M136" s="112">
        <v>0</v>
      </c>
      <c r="N136" s="103">
        <f t="shared" si="109"/>
        <v>12500</v>
      </c>
      <c r="O136" s="113">
        <v>23905.939559999999</v>
      </c>
      <c r="P136" s="113">
        <v>4823.3333300000004</v>
      </c>
      <c r="Q136" s="103">
        <f t="shared" si="110"/>
        <v>19082.606229999998</v>
      </c>
      <c r="R136" s="19">
        <f t="shared" si="105"/>
        <v>7.599081285843809</v>
      </c>
      <c r="S136" s="95">
        <v>50</v>
      </c>
      <c r="T136" s="95">
        <v>0</v>
      </c>
      <c r="U136" s="103">
        <f t="shared" si="115"/>
        <v>50</v>
      </c>
      <c r="V136" s="95">
        <v>1378.5</v>
      </c>
      <c r="W136" s="95">
        <v>379.5</v>
      </c>
      <c r="X136" s="103">
        <f t="shared" si="111"/>
        <v>999</v>
      </c>
      <c r="Y136" s="110">
        <f t="shared" si="112"/>
        <v>23905.939559999999</v>
      </c>
      <c r="Z136" s="110">
        <f t="shared" si="113"/>
        <v>4823.3333300000004</v>
      </c>
      <c r="AA136" s="103">
        <f t="shared" si="114"/>
        <v>19082.606229999998</v>
      </c>
      <c r="AB136" s="19">
        <f t="shared" si="84"/>
        <v>7.599081285843809</v>
      </c>
    </row>
    <row r="137" spans="1:28" x14ac:dyDescent="0.25">
      <c r="A137" s="105"/>
      <c r="B137" s="111" t="s">
        <v>170</v>
      </c>
      <c r="C137" s="113">
        <v>1601674.93579</v>
      </c>
      <c r="D137" s="113">
        <v>1095160.5503</v>
      </c>
      <c r="E137" s="103">
        <f t="shared" si="106"/>
        <v>506514.38549000002</v>
      </c>
      <c r="F137" s="112">
        <f>672220.62625</f>
        <v>672220.62624999997</v>
      </c>
      <c r="G137" s="112">
        <f>451541.06008</f>
        <v>451541.06008000002</v>
      </c>
      <c r="H137" s="103">
        <f t="shared" si="107"/>
        <v>220679.56616999995</v>
      </c>
      <c r="I137" s="112">
        <f>825951.93002-F137</f>
        <v>153731.30377</v>
      </c>
      <c r="J137" s="112">
        <f>562216.95469-G137</f>
        <v>110675.89461000002</v>
      </c>
      <c r="K137" s="103">
        <f t="shared" si="108"/>
        <v>43055.409159999981</v>
      </c>
      <c r="L137" s="112">
        <v>1637257.89897</v>
      </c>
      <c r="M137" s="112">
        <v>1119062.399</v>
      </c>
      <c r="N137" s="103">
        <f t="shared" si="109"/>
        <v>518195.49997</v>
      </c>
      <c r="O137" s="113">
        <v>1670304.3359699999</v>
      </c>
      <c r="P137" s="113">
        <v>1138426.436</v>
      </c>
      <c r="Q137" s="103">
        <f t="shared" si="110"/>
        <v>531877.89996999991</v>
      </c>
      <c r="R137" s="19">
        <f t="shared" si="105"/>
        <v>1.0500746182272065</v>
      </c>
      <c r="S137" s="95">
        <v>792714.95984000002</v>
      </c>
      <c r="T137" s="95">
        <v>552620.34546999994</v>
      </c>
      <c r="U137" s="103">
        <f t="shared" si="115"/>
        <v>240094.61437000008</v>
      </c>
      <c r="V137" s="95">
        <f>167412.3-1736</f>
        <v>165676.29999999999</v>
      </c>
      <c r="W137" s="95">
        <f>144745.9+2783</f>
        <v>147528.9</v>
      </c>
      <c r="X137" s="103">
        <f t="shared" si="111"/>
        <v>18147.399999999994</v>
      </c>
      <c r="Y137" s="110">
        <f>O137+2284</f>
        <v>1672588.3359699999</v>
      </c>
      <c r="Z137" s="110">
        <f t="shared" si="113"/>
        <v>1138426.436</v>
      </c>
      <c r="AA137" s="103">
        <f t="shared" si="114"/>
        <v>534161.89996999991</v>
      </c>
      <c r="AB137" s="19">
        <f t="shared" si="84"/>
        <v>1.054583868241479</v>
      </c>
    </row>
    <row r="138" spans="1:28" x14ac:dyDescent="0.25">
      <c r="A138" s="105"/>
      <c r="B138" s="111" t="s">
        <v>171</v>
      </c>
      <c r="C138" s="113">
        <v>447311.87654000003</v>
      </c>
      <c r="D138" s="113">
        <v>348960.60313</v>
      </c>
      <c r="E138" s="103">
        <f t="shared" si="106"/>
        <v>98351.273410000023</v>
      </c>
      <c r="F138" s="112">
        <f>77949.6192</f>
        <v>77949.619200000001</v>
      </c>
      <c r="G138" s="112">
        <f>41320.67693</f>
        <v>41320.676930000001</v>
      </c>
      <c r="H138" s="103">
        <f t="shared" si="107"/>
        <v>36628.94227</v>
      </c>
      <c r="I138" s="112">
        <f>92010.05652-F138</f>
        <v>14060.437319999997</v>
      </c>
      <c r="J138" s="112">
        <f>47371.42816-G138</f>
        <v>6050.7512300000017</v>
      </c>
      <c r="K138" s="103">
        <f t="shared" si="108"/>
        <v>8009.6860899999956</v>
      </c>
      <c r="L138" s="112">
        <v>466622.26309000002</v>
      </c>
      <c r="M138" s="112">
        <v>367173.76309000002</v>
      </c>
      <c r="N138" s="103">
        <f t="shared" si="109"/>
        <v>99448.5</v>
      </c>
      <c r="O138" s="113">
        <v>308987.09740000003</v>
      </c>
      <c r="P138" s="113">
        <v>205747.4774</v>
      </c>
      <c r="Q138" s="103">
        <f t="shared" si="110"/>
        <v>103239.62000000002</v>
      </c>
      <c r="R138" s="19">
        <f t="shared" si="105"/>
        <v>1.0497029313450961</v>
      </c>
      <c r="S138" s="95">
        <v>91354.887270000007</v>
      </c>
      <c r="T138" s="95">
        <v>46171.28933</v>
      </c>
      <c r="U138" s="103">
        <f t="shared" si="115"/>
        <v>45183.597940000007</v>
      </c>
      <c r="V138" s="95">
        <v>16011.2</v>
      </c>
      <c r="W138" s="95">
        <v>9001.2999999999993</v>
      </c>
      <c r="X138" s="103">
        <f t="shared" si="111"/>
        <v>7009.9000000000015</v>
      </c>
      <c r="Y138" s="110">
        <f t="shared" si="112"/>
        <v>308987.09740000003</v>
      </c>
      <c r="Z138" s="110">
        <f t="shared" si="113"/>
        <v>205747.4774</v>
      </c>
      <c r="AA138" s="103">
        <f t="shared" si="114"/>
        <v>103239.62000000002</v>
      </c>
      <c r="AB138" s="19">
        <f t="shared" si="84"/>
        <v>1.0497029313450961</v>
      </c>
    </row>
    <row r="139" spans="1:28" x14ac:dyDescent="0.25">
      <c r="A139" s="105"/>
      <c r="B139" s="111" t="s">
        <v>172</v>
      </c>
      <c r="C139" s="113"/>
      <c r="D139" s="113"/>
      <c r="E139" s="103">
        <f t="shared" si="106"/>
        <v>0</v>
      </c>
      <c r="F139" s="112"/>
      <c r="G139" s="112"/>
      <c r="H139" s="103">
        <f t="shared" si="107"/>
        <v>0</v>
      </c>
      <c r="I139" s="112"/>
      <c r="J139" s="112"/>
      <c r="K139" s="103">
        <f t="shared" si="108"/>
        <v>0</v>
      </c>
      <c r="L139" s="112"/>
      <c r="M139" s="112"/>
      <c r="N139" s="103">
        <f t="shared" si="109"/>
        <v>0</v>
      </c>
      <c r="O139" s="113"/>
      <c r="P139" s="113"/>
      <c r="Q139" s="103">
        <f t="shared" si="110"/>
        <v>0</v>
      </c>
      <c r="R139" s="19" t="e">
        <f t="shared" si="105"/>
        <v>#DIV/0!</v>
      </c>
      <c r="S139" s="95"/>
      <c r="T139" s="95"/>
      <c r="U139" s="103">
        <f t="shared" si="115"/>
        <v>0</v>
      </c>
      <c r="V139" s="95"/>
      <c r="W139" s="95"/>
      <c r="X139" s="103">
        <f t="shared" si="111"/>
        <v>0</v>
      </c>
      <c r="Y139" s="110"/>
      <c r="Z139" s="110"/>
      <c r="AA139" s="103">
        <f t="shared" si="114"/>
        <v>0</v>
      </c>
      <c r="AB139" s="19" t="e">
        <f t="shared" si="84"/>
        <v>#DIV/0!</v>
      </c>
    </row>
    <row r="140" spans="1:28" x14ac:dyDescent="0.25">
      <c r="A140" s="105"/>
      <c r="B140" s="111" t="s">
        <v>173</v>
      </c>
      <c r="C140" s="113">
        <v>88709.376969999998</v>
      </c>
      <c r="D140" s="113">
        <v>82848.399619999997</v>
      </c>
      <c r="E140" s="103">
        <f t="shared" si="106"/>
        <v>5860.977350000001</v>
      </c>
      <c r="F140" s="112">
        <f>41791.64469</f>
        <v>41791.644690000001</v>
      </c>
      <c r="G140" s="112">
        <f>39665.80757</f>
        <v>39665.807569999997</v>
      </c>
      <c r="H140" s="103">
        <f t="shared" si="107"/>
        <v>2125.8371200000038</v>
      </c>
      <c r="I140" s="112">
        <f>49024.02312-F140</f>
        <v>7232.378429999997</v>
      </c>
      <c r="J140" s="112">
        <f>46266.80841-G140</f>
        <v>6601.0008400000006</v>
      </c>
      <c r="K140" s="103">
        <f t="shared" si="108"/>
        <v>631.37758999999642</v>
      </c>
      <c r="L140" s="112">
        <v>116408.655</v>
      </c>
      <c r="M140" s="112">
        <v>110608.855</v>
      </c>
      <c r="N140" s="103">
        <f t="shared" si="109"/>
        <v>5799.8000000000029</v>
      </c>
      <c r="O140" s="113">
        <v>116751.355</v>
      </c>
      <c r="P140" s="113">
        <v>110608.855</v>
      </c>
      <c r="Q140" s="103">
        <f t="shared" si="110"/>
        <v>6142.5</v>
      </c>
      <c r="R140" s="19">
        <f t="shared" si="105"/>
        <v>1.0480333966825515</v>
      </c>
      <c r="S140" s="95">
        <v>52290.295400000003</v>
      </c>
      <c r="T140" s="95">
        <v>49814.15365</v>
      </c>
      <c r="U140" s="103">
        <f t="shared" si="115"/>
        <v>2476.1417500000025</v>
      </c>
      <c r="V140" s="95">
        <v>8715.2000000000007</v>
      </c>
      <c r="W140" s="95">
        <v>8302.1</v>
      </c>
      <c r="X140" s="103">
        <f t="shared" si="111"/>
        <v>413.10000000000036</v>
      </c>
      <c r="Y140" s="110">
        <f t="shared" si="112"/>
        <v>116751.355</v>
      </c>
      <c r="Z140" s="110">
        <f t="shared" si="113"/>
        <v>110608.855</v>
      </c>
      <c r="AA140" s="103">
        <f t="shared" si="114"/>
        <v>6142.5</v>
      </c>
      <c r="AB140" s="19">
        <f t="shared" si="84"/>
        <v>1.0480333966825515</v>
      </c>
    </row>
    <row r="141" spans="1:28" x14ac:dyDescent="0.25">
      <c r="A141" s="105"/>
      <c r="B141" s="111" t="s">
        <v>174</v>
      </c>
      <c r="C141" s="113">
        <v>119302.32921</v>
      </c>
      <c r="D141" s="113">
        <v>55553.59057</v>
      </c>
      <c r="E141" s="103">
        <f t="shared" si="106"/>
        <v>63748.738639999996</v>
      </c>
      <c r="F141" s="112">
        <f>51273.91757</f>
        <v>51273.917569999998</v>
      </c>
      <c r="G141" s="112">
        <f>23681.0261</f>
        <v>23681.026099999999</v>
      </c>
      <c r="H141" s="103">
        <f t="shared" si="107"/>
        <v>27592.891469999999</v>
      </c>
      <c r="I141" s="112">
        <f>57098.14223-F141</f>
        <v>5824.2246599999999</v>
      </c>
      <c r="J141" s="112">
        <f>27433.77499-G141</f>
        <v>3752.7488900000026</v>
      </c>
      <c r="K141" s="103">
        <f t="shared" si="108"/>
        <v>2071.4757699999973</v>
      </c>
      <c r="L141" s="112">
        <v>135838.79999999999</v>
      </c>
      <c r="M141" s="112">
        <v>26147.7</v>
      </c>
      <c r="N141" s="103">
        <f t="shared" si="109"/>
        <v>109691.09999999999</v>
      </c>
      <c r="O141" s="113">
        <v>143246.416</v>
      </c>
      <c r="P141" s="113">
        <v>29103.063999999998</v>
      </c>
      <c r="Q141" s="103">
        <f t="shared" si="110"/>
        <v>114143.352</v>
      </c>
      <c r="R141" s="19">
        <f t="shared" si="105"/>
        <v>1.7905193802278503</v>
      </c>
      <c r="S141" s="95">
        <v>51819.7307</v>
      </c>
      <c r="T141" s="95">
        <v>13130.95</v>
      </c>
      <c r="U141" s="103">
        <f t="shared" si="115"/>
        <v>38688.780700000003</v>
      </c>
      <c r="V141" s="95">
        <v>6745.6</v>
      </c>
      <c r="W141" s="95">
        <v>4112.3</v>
      </c>
      <c r="X141" s="103">
        <f t="shared" si="111"/>
        <v>2633.3</v>
      </c>
      <c r="Y141" s="110">
        <f t="shared" si="112"/>
        <v>143246.416</v>
      </c>
      <c r="Z141" s="110">
        <f t="shared" si="113"/>
        <v>29103.063999999998</v>
      </c>
      <c r="AA141" s="103">
        <f t="shared" si="114"/>
        <v>114143.352</v>
      </c>
      <c r="AB141" s="19">
        <f t="shared" si="84"/>
        <v>1.7905193802278503</v>
      </c>
    </row>
    <row r="142" spans="1:28" x14ac:dyDescent="0.25">
      <c r="A142" s="105"/>
      <c r="B142" s="111" t="s">
        <v>175</v>
      </c>
      <c r="C142" s="113">
        <v>7093</v>
      </c>
      <c r="D142" s="113">
        <v>0</v>
      </c>
      <c r="E142" s="103">
        <f t="shared" si="106"/>
        <v>7093</v>
      </c>
      <c r="F142" s="112">
        <f>3362.67694</f>
        <v>3362.6769399999998</v>
      </c>
      <c r="G142" s="112"/>
      <c r="H142" s="103">
        <f t="shared" si="107"/>
        <v>3362.6769399999998</v>
      </c>
      <c r="I142" s="112">
        <f>4362.67694-F142</f>
        <v>1000.0000000000005</v>
      </c>
      <c r="J142" s="112"/>
      <c r="K142" s="103">
        <f t="shared" si="108"/>
        <v>1000.0000000000005</v>
      </c>
      <c r="L142" s="112">
        <v>8127.2</v>
      </c>
      <c r="M142" s="112">
        <v>0</v>
      </c>
      <c r="N142" s="103">
        <f t="shared" si="109"/>
        <v>8127.2</v>
      </c>
      <c r="O142" s="113">
        <v>8127.2</v>
      </c>
      <c r="P142" s="113">
        <v>0</v>
      </c>
      <c r="Q142" s="103">
        <f t="shared" si="110"/>
        <v>8127.2</v>
      </c>
      <c r="R142" s="19">
        <f t="shared" si="105"/>
        <v>1.1458057239531934</v>
      </c>
      <c r="S142" s="95">
        <v>4390.0520699999997</v>
      </c>
      <c r="T142" s="95">
        <v>0</v>
      </c>
      <c r="U142" s="103">
        <f t="shared" si="115"/>
        <v>4390.0520699999997</v>
      </c>
      <c r="V142" s="95">
        <v>1000</v>
      </c>
      <c r="W142" s="95"/>
      <c r="X142" s="103">
        <f t="shared" si="111"/>
        <v>1000</v>
      </c>
      <c r="Y142" s="110">
        <f t="shared" si="112"/>
        <v>8127.2</v>
      </c>
      <c r="Z142" s="110">
        <f t="shared" si="113"/>
        <v>0</v>
      </c>
      <c r="AA142" s="103">
        <f t="shared" si="114"/>
        <v>8127.2</v>
      </c>
      <c r="AB142" s="19">
        <f t="shared" si="84"/>
        <v>1.1458057239531934</v>
      </c>
    </row>
    <row r="143" spans="1:28" x14ac:dyDescent="0.25">
      <c r="A143" s="105"/>
      <c r="B143" s="111" t="s">
        <v>176</v>
      </c>
      <c r="C143" s="113">
        <v>103.36121</v>
      </c>
      <c r="D143" s="113">
        <v>0</v>
      </c>
      <c r="E143" s="103">
        <f t="shared" si="106"/>
        <v>103.36121</v>
      </c>
      <c r="F143" s="112"/>
      <c r="G143" s="112"/>
      <c r="H143" s="103">
        <f t="shared" si="107"/>
        <v>0</v>
      </c>
      <c r="I143" s="112"/>
      <c r="J143" s="112"/>
      <c r="K143" s="103">
        <f t="shared" si="108"/>
        <v>0</v>
      </c>
      <c r="L143" s="112">
        <v>225.3</v>
      </c>
      <c r="M143" s="112">
        <v>0</v>
      </c>
      <c r="N143" s="103">
        <f t="shared" si="109"/>
        <v>225.3</v>
      </c>
      <c r="O143" s="113">
        <v>225.3</v>
      </c>
      <c r="P143" s="113">
        <v>0</v>
      </c>
      <c r="Q143" s="103">
        <f t="shared" si="110"/>
        <v>225.3</v>
      </c>
      <c r="R143" s="19">
        <f t="shared" si="105"/>
        <v>2.1797345445162648</v>
      </c>
      <c r="S143" s="95">
        <v>0</v>
      </c>
      <c r="T143" s="95">
        <v>0</v>
      </c>
      <c r="U143" s="103">
        <f t="shared" si="115"/>
        <v>0</v>
      </c>
      <c r="V143" s="95"/>
      <c r="W143" s="95"/>
      <c r="X143" s="103">
        <f t="shared" si="111"/>
        <v>0</v>
      </c>
      <c r="Y143" s="110">
        <f t="shared" si="112"/>
        <v>225.3</v>
      </c>
      <c r="Z143" s="110">
        <f t="shared" si="113"/>
        <v>0</v>
      </c>
      <c r="AA143" s="103">
        <f t="shared" si="114"/>
        <v>225.3</v>
      </c>
      <c r="AB143" s="19">
        <f t="shared" si="84"/>
        <v>2.1797345445162648</v>
      </c>
    </row>
    <row r="144" spans="1:28" x14ac:dyDescent="0.25">
      <c r="A144" s="105"/>
      <c r="B144" s="111" t="s">
        <v>177</v>
      </c>
      <c r="C144" s="113"/>
      <c r="D144" s="113"/>
      <c r="E144" s="103">
        <f t="shared" si="106"/>
        <v>0</v>
      </c>
      <c r="F144" s="112"/>
      <c r="G144" s="112"/>
      <c r="H144" s="103">
        <f t="shared" si="107"/>
        <v>0</v>
      </c>
      <c r="I144" s="112"/>
      <c r="J144" s="112"/>
      <c r="K144" s="103">
        <f t="shared" si="108"/>
        <v>0</v>
      </c>
      <c r="L144" s="112"/>
      <c r="M144" s="112"/>
      <c r="N144" s="103">
        <f t="shared" si="109"/>
        <v>0</v>
      </c>
      <c r="O144" s="113"/>
      <c r="P144" s="113"/>
      <c r="Q144" s="103">
        <f t="shared" si="110"/>
        <v>0</v>
      </c>
      <c r="R144" s="19" t="e">
        <f t="shared" si="105"/>
        <v>#DIV/0!</v>
      </c>
      <c r="S144" s="95"/>
      <c r="T144" s="95"/>
      <c r="U144" s="103">
        <f t="shared" si="115"/>
        <v>0</v>
      </c>
      <c r="V144" s="95"/>
      <c r="W144" s="95"/>
      <c r="X144" s="103">
        <f t="shared" si="111"/>
        <v>0</v>
      </c>
      <c r="Y144" s="110"/>
      <c r="Z144" s="110"/>
      <c r="AA144" s="103">
        <f t="shared" si="114"/>
        <v>0</v>
      </c>
      <c r="AB144" s="19" t="e">
        <f t="shared" si="84"/>
        <v>#DIV/0!</v>
      </c>
    </row>
    <row r="145" spans="1:28" x14ac:dyDescent="0.25">
      <c r="A145" s="105"/>
      <c r="B145" s="114" t="s">
        <v>178</v>
      </c>
      <c r="C145" s="115">
        <f>SUM(C131:C144)</f>
        <v>3333718.34002</v>
      </c>
      <c r="D145" s="115">
        <f t="shared" ref="D145:AA145" si="116">SUM(D131:D144)</f>
        <v>1951982.21104</v>
      </c>
      <c r="E145" s="116">
        <f t="shared" si="116"/>
        <v>1381736.1289799998</v>
      </c>
      <c r="F145" s="115">
        <f t="shared" si="116"/>
        <v>1083867.8506299998</v>
      </c>
      <c r="G145" s="115">
        <f t="shared" si="116"/>
        <v>571812.75551000005</v>
      </c>
      <c r="H145" s="115">
        <f t="shared" si="116"/>
        <v>512055.0951199999</v>
      </c>
      <c r="I145" s="115">
        <f t="shared" si="116"/>
        <v>297936.15651999996</v>
      </c>
      <c r="J145" s="115">
        <f t="shared" si="116"/>
        <v>191962.16898000002</v>
      </c>
      <c r="K145" s="115">
        <f t="shared" si="116"/>
        <v>105973.98753999994</v>
      </c>
      <c r="L145" s="115">
        <f t="shared" si="116"/>
        <v>3147176.2886099997</v>
      </c>
      <c r="M145" s="115">
        <f t="shared" si="116"/>
        <v>1741913.41864</v>
      </c>
      <c r="N145" s="115">
        <f t="shared" si="116"/>
        <v>1405262.8699700001</v>
      </c>
      <c r="O145" s="115">
        <f t="shared" si="116"/>
        <v>3171805.10072</v>
      </c>
      <c r="P145" s="115">
        <f t="shared" si="116"/>
        <v>1695646.82381</v>
      </c>
      <c r="Q145" s="115">
        <f t="shared" si="116"/>
        <v>1476158.27691</v>
      </c>
      <c r="R145" s="19">
        <f t="shared" si="105"/>
        <v>1.0683358753886698</v>
      </c>
      <c r="S145" s="115">
        <f t="shared" si="116"/>
        <v>1333680.66808</v>
      </c>
      <c r="T145" s="115">
        <f>SUM(T131:T144)</f>
        <v>748166.61764999991</v>
      </c>
      <c r="U145" s="115">
        <f t="shared" si="116"/>
        <v>585514.05043000006</v>
      </c>
      <c r="V145" s="115">
        <f t="shared" si="116"/>
        <v>287414.5</v>
      </c>
      <c r="W145" s="115">
        <f t="shared" si="116"/>
        <v>205542.19999999998</v>
      </c>
      <c r="X145" s="115">
        <f t="shared" si="116"/>
        <v>81872.3</v>
      </c>
      <c r="Y145" s="115">
        <f t="shared" si="116"/>
        <v>3174089.10072</v>
      </c>
      <c r="Z145" s="115">
        <f t="shared" si="116"/>
        <v>1695646.82381</v>
      </c>
      <c r="AA145" s="115">
        <f t="shared" si="116"/>
        <v>1478442.27691</v>
      </c>
      <c r="AB145" s="19">
        <f t="shared" si="84"/>
        <v>1.0699888682807974</v>
      </c>
    </row>
    <row r="146" spans="1:28" x14ac:dyDescent="0.25">
      <c r="A146" s="105"/>
      <c r="B146" s="114" t="s">
        <v>179</v>
      </c>
      <c r="C146" s="117">
        <f t="shared" ref="C146:Q146" si="117">C104-C145</f>
        <v>0</v>
      </c>
      <c r="D146" s="117">
        <f t="shared" si="117"/>
        <v>0</v>
      </c>
      <c r="E146" s="117">
        <f t="shared" si="117"/>
        <v>0</v>
      </c>
      <c r="F146" s="117">
        <f t="shared" si="117"/>
        <v>-2.9999997932463884E-3</v>
      </c>
      <c r="G146" s="117">
        <f t="shared" si="117"/>
        <v>0</v>
      </c>
      <c r="H146" s="117">
        <f t="shared" si="117"/>
        <v>-2.9999998514540493E-3</v>
      </c>
      <c r="I146" s="117">
        <f t="shared" si="117"/>
        <v>2.9999999678693712E-3</v>
      </c>
      <c r="J146" s="117">
        <f t="shared" si="117"/>
        <v>0</v>
      </c>
      <c r="K146" s="117">
        <f t="shared" si="117"/>
        <v>3.0000000551808625E-3</v>
      </c>
      <c r="L146" s="115">
        <f t="shared" si="117"/>
        <v>0</v>
      </c>
      <c r="M146" s="115">
        <f t="shared" si="117"/>
        <v>0.32003000006079674</v>
      </c>
      <c r="N146" s="115">
        <f t="shared" si="117"/>
        <v>-0.32003000052645802</v>
      </c>
      <c r="O146" s="115">
        <f t="shared" si="117"/>
        <v>0</v>
      </c>
      <c r="P146" s="115">
        <f t="shared" si="117"/>
        <v>0</v>
      </c>
      <c r="Q146" s="115">
        <f t="shared" si="117"/>
        <v>0</v>
      </c>
      <c r="R146" s="118"/>
      <c r="S146" s="115">
        <f t="shared" ref="S146:AA146" si="118">S104-S145</f>
        <v>-4.9999682232737541E-5</v>
      </c>
      <c r="T146" s="115">
        <f t="shared" si="118"/>
        <v>0</v>
      </c>
      <c r="U146" s="115">
        <f t="shared" si="118"/>
        <v>-4.9999798648059368E-5</v>
      </c>
      <c r="V146" s="115">
        <f t="shared" si="118"/>
        <v>-2.3000000044703484E-2</v>
      </c>
      <c r="W146" s="115">
        <f t="shared" si="118"/>
        <v>-1.9999999989522621E-2</v>
      </c>
      <c r="X146" s="115">
        <f t="shared" si="118"/>
        <v>-3.0000000406289473E-3</v>
      </c>
      <c r="Y146" s="115">
        <f t="shared" si="118"/>
        <v>0</v>
      </c>
      <c r="Z146" s="115">
        <f t="shared" si="118"/>
        <v>0</v>
      </c>
      <c r="AA146" s="115">
        <f t="shared" si="118"/>
        <v>0</v>
      </c>
      <c r="AB146" s="19"/>
    </row>
    <row r="147" spans="1:28" x14ac:dyDescent="0.25">
      <c r="A147" s="92" t="s">
        <v>180</v>
      </c>
      <c r="B147" s="119" t="s">
        <v>181</v>
      </c>
      <c r="C147" s="120"/>
      <c r="D147" s="121"/>
      <c r="E147" s="122"/>
      <c r="F147" s="122"/>
      <c r="G147" s="121"/>
      <c r="H147" s="121"/>
      <c r="I147" s="121"/>
      <c r="J147" s="121"/>
      <c r="K147" s="121"/>
      <c r="L147" s="123"/>
      <c r="M147" s="123"/>
      <c r="N147" s="123"/>
      <c r="O147" s="123"/>
      <c r="P147" s="123"/>
      <c r="Q147" s="123"/>
      <c r="R147" s="124"/>
      <c r="S147" s="125"/>
      <c r="T147" s="123"/>
      <c r="U147" s="123"/>
      <c r="V147" s="125"/>
      <c r="W147" s="123"/>
      <c r="X147" s="123"/>
      <c r="Y147" s="125"/>
      <c r="Z147" s="123"/>
      <c r="AA147" s="123"/>
      <c r="AB147" s="19"/>
    </row>
    <row r="148" spans="1:28" x14ac:dyDescent="0.25">
      <c r="A148" s="15" t="s">
        <v>182</v>
      </c>
      <c r="B148" s="25" t="s">
        <v>183</v>
      </c>
      <c r="C148" s="121" t="s">
        <v>184</v>
      </c>
      <c r="D148" s="122" t="s">
        <v>184</v>
      </c>
      <c r="E148" s="122" t="s">
        <v>184</v>
      </c>
      <c r="F148" s="121" t="s">
        <v>184</v>
      </c>
      <c r="G148" s="121" t="s">
        <v>184</v>
      </c>
      <c r="H148" s="121" t="s">
        <v>184</v>
      </c>
      <c r="I148" s="121" t="s">
        <v>184</v>
      </c>
      <c r="J148" s="121" t="s">
        <v>184</v>
      </c>
      <c r="K148" s="123" t="s">
        <v>184</v>
      </c>
      <c r="L148" s="123" t="s">
        <v>184</v>
      </c>
      <c r="M148" s="123" t="s">
        <v>184</v>
      </c>
      <c r="N148" s="123" t="s">
        <v>184</v>
      </c>
      <c r="O148" s="123" t="s">
        <v>184</v>
      </c>
      <c r="P148" s="123" t="s">
        <v>184</v>
      </c>
      <c r="Q148" s="124" t="s">
        <v>184</v>
      </c>
      <c r="R148" s="121" t="s">
        <v>184</v>
      </c>
      <c r="S148" s="122" t="s">
        <v>184</v>
      </c>
      <c r="T148" s="122" t="s">
        <v>184</v>
      </c>
      <c r="U148" s="121" t="s">
        <v>184</v>
      </c>
      <c r="V148" s="121" t="s">
        <v>184</v>
      </c>
      <c r="W148" s="121" t="s">
        <v>184</v>
      </c>
      <c r="X148" s="121" t="s">
        <v>184</v>
      </c>
      <c r="Y148" s="121" t="s">
        <v>184</v>
      </c>
      <c r="Z148" s="123" t="s">
        <v>184</v>
      </c>
      <c r="AA148" s="123" t="s">
        <v>184</v>
      </c>
      <c r="AB148" s="123" t="s">
        <v>184</v>
      </c>
    </row>
    <row r="149" spans="1:28" x14ac:dyDescent="0.25">
      <c r="A149" s="15"/>
      <c r="B149" s="34" t="s">
        <v>185</v>
      </c>
      <c r="C149" s="35">
        <f>71718.8-178.2</f>
        <v>71540.600000000006</v>
      </c>
      <c r="D149" s="35">
        <v>55573.1</v>
      </c>
      <c r="E149" s="36">
        <f t="shared" ref="E149:E150" si="119">C149-D149</f>
        <v>15967.500000000007</v>
      </c>
      <c r="F149" s="35">
        <f>9851.28413</f>
        <v>9851.28413</v>
      </c>
      <c r="G149" s="35">
        <v>0</v>
      </c>
      <c r="H149" s="36">
        <f t="shared" ref="H149:H150" si="120">F149-G149</f>
        <v>9851.28413</v>
      </c>
      <c r="I149" s="35">
        <f>9829.5-F149</f>
        <v>-21.784130000000005</v>
      </c>
      <c r="J149" s="35">
        <v>0</v>
      </c>
      <c r="K149" s="36">
        <f t="shared" ref="K149:K150" si="121">I149-J149</f>
        <v>-21.784130000000005</v>
      </c>
      <c r="L149" s="35">
        <v>62635.947670000001</v>
      </c>
      <c r="M149" s="35">
        <v>48217.04767</v>
      </c>
      <c r="N149" s="36">
        <f t="shared" ref="N149:N150" si="122">L149-M149</f>
        <v>14418.900000000001</v>
      </c>
      <c r="O149" s="35">
        <v>68900</v>
      </c>
      <c r="P149" s="35">
        <v>53947.94</v>
      </c>
      <c r="Q149" s="36">
        <f t="shared" ref="Q149:Q150" si="123">O149-P149</f>
        <v>14952.059999999998</v>
      </c>
      <c r="R149" s="37">
        <f t="shared" ref="R149:R150" si="124">Q149/E149</f>
        <v>0.9364058243306711</v>
      </c>
      <c r="S149" s="35">
        <v>7679.44</v>
      </c>
      <c r="T149" s="35">
        <f>0</f>
        <v>0</v>
      </c>
      <c r="U149" s="36">
        <f t="shared" ref="U149:U150" si="125">S149-T149</f>
        <v>7679.44</v>
      </c>
      <c r="V149" s="35">
        <v>1396.6289999999999</v>
      </c>
      <c r="W149" s="35">
        <v>0</v>
      </c>
      <c r="X149" s="36">
        <f t="shared" ref="X149:X150" si="126">V149-W149</f>
        <v>1396.6289999999999</v>
      </c>
      <c r="Y149" s="35">
        <v>69518.53</v>
      </c>
      <c r="Z149" s="35">
        <f>P149</f>
        <v>53947.94</v>
      </c>
      <c r="AA149" s="36">
        <f t="shared" ref="AA149:AA150" si="127">Y149-Z149</f>
        <v>15570.589999999997</v>
      </c>
      <c r="AB149" s="37">
        <f t="shared" ref="AB149:AB150" si="128">AA149/E149</f>
        <v>0.9751426334742439</v>
      </c>
    </row>
    <row r="150" spans="1:28" x14ac:dyDescent="0.25">
      <c r="A150" s="15"/>
      <c r="B150" s="126" t="s">
        <v>186</v>
      </c>
      <c r="C150" s="35">
        <v>65206.3</v>
      </c>
      <c r="D150" s="35">
        <v>49594</v>
      </c>
      <c r="E150" s="36">
        <f t="shared" si="119"/>
        <v>15612.300000000003</v>
      </c>
      <c r="F150" s="35">
        <f>9851.28413</f>
        <v>9851.28413</v>
      </c>
      <c r="G150" s="35">
        <v>0</v>
      </c>
      <c r="H150" s="36">
        <f t="shared" si="120"/>
        <v>9851.28413</v>
      </c>
      <c r="I150" s="35">
        <f>I149</f>
        <v>-21.784130000000005</v>
      </c>
      <c r="J150" s="35">
        <v>0</v>
      </c>
      <c r="K150" s="36">
        <f t="shared" si="121"/>
        <v>-21.784130000000005</v>
      </c>
      <c r="L150" s="35">
        <v>62635.947670000001</v>
      </c>
      <c r="M150" s="35">
        <v>48217.04767</v>
      </c>
      <c r="N150" s="36">
        <f t="shared" si="122"/>
        <v>14418.900000000001</v>
      </c>
      <c r="O150" s="35">
        <v>69518.53</v>
      </c>
      <c r="P150" s="35">
        <v>53947.94</v>
      </c>
      <c r="Q150" s="36">
        <f t="shared" si="123"/>
        <v>15570.589999999997</v>
      </c>
      <c r="R150" s="37">
        <f t="shared" si="124"/>
        <v>0.99732838851418393</v>
      </c>
      <c r="S150" s="35">
        <v>6331.43</v>
      </c>
      <c r="T150" s="35">
        <v>0</v>
      </c>
      <c r="U150" s="36">
        <f t="shared" si="125"/>
        <v>6331.43</v>
      </c>
      <c r="V150" s="35">
        <v>0</v>
      </c>
      <c r="W150" s="35">
        <v>0</v>
      </c>
      <c r="X150" s="36">
        <f t="shared" si="126"/>
        <v>0</v>
      </c>
      <c r="Y150" s="35">
        <f>O150</f>
        <v>69518.53</v>
      </c>
      <c r="Z150" s="35">
        <f>P150</f>
        <v>53947.94</v>
      </c>
      <c r="AA150" s="36">
        <f t="shared" si="127"/>
        <v>15570.589999999997</v>
      </c>
      <c r="AB150" s="37">
        <f t="shared" si="128"/>
        <v>0.99732838851418393</v>
      </c>
    </row>
    <row r="151" spans="1:28" x14ac:dyDescent="0.25">
      <c r="A151" s="15" t="s">
        <v>187</v>
      </c>
      <c r="B151" s="127" t="s">
        <v>188</v>
      </c>
      <c r="C151" s="128">
        <f>C152</f>
        <v>92460</v>
      </c>
      <c r="D151" s="121" t="s">
        <v>184</v>
      </c>
      <c r="E151" s="122" t="s">
        <v>184</v>
      </c>
      <c r="F151" s="129">
        <f>F152</f>
        <v>106040</v>
      </c>
      <c r="G151" s="121" t="s">
        <v>184</v>
      </c>
      <c r="H151" s="121" t="s">
        <v>184</v>
      </c>
      <c r="I151" s="130">
        <f>I152</f>
        <v>0</v>
      </c>
      <c r="J151" s="121" t="s">
        <v>184</v>
      </c>
      <c r="K151" s="121" t="s">
        <v>184</v>
      </c>
      <c r="L151" s="123" t="s">
        <v>184</v>
      </c>
      <c r="M151" s="123" t="s">
        <v>184</v>
      </c>
      <c r="N151" s="123" t="s">
        <v>184</v>
      </c>
      <c r="O151" s="123" t="s">
        <v>184</v>
      </c>
      <c r="P151" s="123" t="s">
        <v>184</v>
      </c>
      <c r="Q151" s="123" t="s">
        <v>184</v>
      </c>
      <c r="R151" s="124" t="s">
        <v>184</v>
      </c>
      <c r="S151" s="125">
        <f>S152</f>
        <v>81670</v>
      </c>
      <c r="T151" s="123" t="s">
        <v>184</v>
      </c>
      <c r="U151" s="123" t="s">
        <v>184</v>
      </c>
      <c r="V151" s="125">
        <f>V152</f>
        <v>77950</v>
      </c>
      <c r="W151" s="123" t="s">
        <v>184</v>
      </c>
      <c r="X151" s="123" t="s">
        <v>184</v>
      </c>
      <c r="Y151" s="95">
        <f>Y152+Y153+Y154</f>
        <v>190775.70697</v>
      </c>
      <c r="Z151" s="123" t="s">
        <v>184</v>
      </c>
      <c r="AA151" s="123" t="s">
        <v>184</v>
      </c>
      <c r="AB151" s="19">
        <f>Y151/C151</f>
        <v>2.0633323271685051</v>
      </c>
    </row>
    <row r="152" spans="1:28" x14ac:dyDescent="0.25">
      <c r="A152" s="15"/>
      <c r="B152" s="127" t="s">
        <v>189</v>
      </c>
      <c r="C152" s="128">
        <v>92460</v>
      </c>
      <c r="D152" s="121" t="s">
        <v>184</v>
      </c>
      <c r="E152" s="122" t="s">
        <v>184</v>
      </c>
      <c r="F152" s="129">
        <v>106040</v>
      </c>
      <c r="G152" s="121" t="s">
        <v>184</v>
      </c>
      <c r="H152" s="121" t="s">
        <v>184</v>
      </c>
      <c r="I152" s="130">
        <f>106040-F152</f>
        <v>0</v>
      </c>
      <c r="J152" s="121" t="s">
        <v>184</v>
      </c>
      <c r="K152" s="121" t="s">
        <v>184</v>
      </c>
      <c r="L152" s="123" t="s">
        <v>184</v>
      </c>
      <c r="M152" s="123" t="s">
        <v>184</v>
      </c>
      <c r="N152" s="123" t="s">
        <v>184</v>
      </c>
      <c r="O152" s="123" t="s">
        <v>184</v>
      </c>
      <c r="P152" s="123" t="s">
        <v>184</v>
      </c>
      <c r="Q152" s="123" t="s">
        <v>184</v>
      </c>
      <c r="R152" s="124" t="s">
        <v>184</v>
      </c>
      <c r="S152" s="125">
        <v>81670</v>
      </c>
      <c r="T152" s="123" t="s">
        <v>184</v>
      </c>
      <c r="U152" s="123" t="s">
        <v>184</v>
      </c>
      <c r="V152" s="125">
        <v>77950</v>
      </c>
      <c r="W152" s="123" t="s">
        <v>184</v>
      </c>
      <c r="X152" s="123" t="s">
        <v>184</v>
      </c>
      <c r="Y152" s="95">
        <f>C152+Y113</f>
        <v>53950</v>
      </c>
      <c r="Z152" s="123" t="s">
        <v>184</v>
      </c>
      <c r="AA152" s="123" t="s">
        <v>184</v>
      </c>
      <c r="AB152" s="19">
        <f t="shared" ref="AB152:AB164" si="129">Y152/C152</f>
        <v>0.58349556565001082</v>
      </c>
    </row>
    <row r="153" spans="1:28" x14ac:dyDescent="0.25">
      <c r="A153" s="15"/>
      <c r="B153" s="127" t="s">
        <v>190</v>
      </c>
      <c r="C153" s="128"/>
      <c r="D153" s="121" t="s">
        <v>184</v>
      </c>
      <c r="E153" s="122" t="s">
        <v>184</v>
      </c>
      <c r="F153" s="129"/>
      <c r="G153" s="121" t="s">
        <v>184</v>
      </c>
      <c r="H153" s="121" t="s">
        <v>184</v>
      </c>
      <c r="I153" s="130">
        <v>0</v>
      </c>
      <c r="J153" s="121" t="s">
        <v>184</v>
      </c>
      <c r="K153" s="121" t="s">
        <v>184</v>
      </c>
      <c r="L153" s="123" t="s">
        <v>184</v>
      </c>
      <c r="M153" s="123" t="s">
        <v>184</v>
      </c>
      <c r="N153" s="123" t="s">
        <v>184</v>
      </c>
      <c r="O153" s="123" t="s">
        <v>184</v>
      </c>
      <c r="P153" s="123" t="s">
        <v>184</v>
      </c>
      <c r="Q153" s="123" t="s">
        <v>184</v>
      </c>
      <c r="R153" s="124" t="s">
        <v>184</v>
      </c>
      <c r="S153" s="125">
        <v>0</v>
      </c>
      <c r="T153" s="123" t="s">
        <v>184</v>
      </c>
      <c r="U153" s="123" t="s">
        <v>184</v>
      </c>
      <c r="V153" s="125"/>
      <c r="W153" s="123" t="s">
        <v>184</v>
      </c>
      <c r="X153" s="123" t="s">
        <v>184</v>
      </c>
      <c r="Y153" s="95">
        <f>Y116</f>
        <v>136825.70697</v>
      </c>
      <c r="Z153" s="123" t="s">
        <v>184</v>
      </c>
      <c r="AA153" s="123" t="s">
        <v>184</v>
      </c>
      <c r="AB153" s="19" t="e">
        <f t="shared" si="129"/>
        <v>#DIV/0!</v>
      </c>
    </row>
    <row r="154" spans="1:28" x14ac:dyDescent="0.25">
      <c r="A154" s="15"/>
      <c r="B154" s="127" t="s">
        <v>191</v>
      </c>
      <c r="C154" s="128"/>
      <c r="D154" s="121" t="s">
        <v>184</v>
      </c>
      <c r="E154" s="122" t="s">
        <v>184</v>
      </c>
      <c r="F154" s="129"/>
      <c r="G154" s="121" t="s">
        <v>184</v>
      </c>
      <c r="H154" s="121" t="s">
        <v>184</v>
      </c>
      <c r="I154" s="130">
        <v>0</v>
      </c>
      <c r="J154" s="121" t="s">
        <v>184</v>
      </c>
      <c r="K154" s="121" t="s">
        <v>184</v>
      </c>
      <c r="L154" s="123" t="s">
        <v>184</v>
      </c>
      <c r="M154" s="123" t="s">
        <v>184</v>
      </c>
      <c r="N154" s="123" t="s">
        <v>184</v>
      </c>
      <c r="O154" s="123" t="s">
        <v>184</v>
      </c>
      <c r="P154" s="123" t="s">
        <v>184</v>
      </c>
      <c r="Q154" s="123" t="s">
        <v>184</v>
      </c>
      <c r="R154" s="124" t="s">
        <v>184</v>
      </c>
      <c r="S154" s="125">
        <v>0</v>
      </c>
      <c r="T154" s="123" t="s">
        <v>184</v>
      </c>
      <c r="U154" s="123" t="s">
        <v>184</v>
      </c>
      <c r="V154" s="125"/>
      <c r="W154" s="123" t="s">
        <v>184</v>
      </c>
      <c r="X154" s="123" t="s">
        <v>184</v>
      </c>
      <c r="Y154" s="125"/>
      <c r="Z154" s="123" t="s">
        <v>184</v>
      </c>
      <c r="AA154" s="123" t="s">
        <v>184</v>
      </c>
      <c r="AB154" s="19" t="e">
        <f t="shared" si="129"/>
        <v>#DIV/0!</v>
      </c>
    </row>
    <row r="155" spans="1:28" ht="56.25" customHeight="1" x14ac:dyDescent="0.25">
      <c r="A155" s="15" t="s">
        <v>192</v>
      </c>
      <c r="B155" s="131" t="s">
        <v>216</v>
      </c>
      <c r="C155" s="128">
        <f>9+11+49.95+15.5</f>
        <v>85.45</v>
      </c>
      <c r="D155" s="121" t="s">
        <v>184</v>
      </c>
      <c r="E155" s="122" t="s">
        <v>184</v>
      </c>
      <c r="F155" s="122" t="s">
        <v>184</v>
      </c>
      <c r="G155" s="121" t="s">
        <v>184</v>
      </c>
      <c r="H155" s="121" t="s">
        <v>184</v>
      </c>
      <c r="I155" s="121" t="s">
        <v>184</v>
      </c>
      <c r="J155" s="121" t="s">
        <v>184</v>
      </c>
      <c r="K155" s="121" t="s">
        <v>184</v>
      </c>
      <c r="L155" s="125">
        <v>107.95</v>
      </c>
      <c r="M155" s="123" t="s">
        <v>184</v>
      </c>
      <c r="N155" s="123" t="s">
        <v>184</v>
      </c>
      <c r="O155" s="125">
        <v>100.95</v>
      </c>
      <c r="P155" s="123" t="s">
        <v>184</v>
      </c>
      <c r="Q155" s="123" t="s">
        <v>184</v>
      </c>
      <c r="R155" s="124">
        <f>O155/C155</f>
        <v>1.1813926272674078</v>
      </c>
      <c r="S155" s="123" t="s">
        <v>184</v>
      </c>
      <c r="T155" s="123" t="s">
        <v>184</v>
      </c>
      <c r="U155" s="123" t="s">
        <v>184</v>
      </c>
      <c r="V155" s="123" t="s">
        <v>184</v>
      </c>
      <c r="W155" s="123" t="s">
        <v>184</v>
      </c>
      <c r="X155" s="123" t="s">
        <v>184</v>
      </c>
      <c r="Y155" s="125">
        <f>O155</f>
        <v>100.95</v>
      </c>
      <c r="Z155" s="123" t="s">
        <v>184</v>
      </c>
      <c r="AA155" s="123" t="s">
        <v>184</v>
      </c>
      <c r="AB155" s="19">
        <f t="shared" si="129"/>
        <v>1.1813926272674078</v>
      </c>
    </row>
    <row r="156" spans="1:28" ht="63.75" x14ac:dyDescent="0.25">
      <c r="A156" s="15"/>
      <c r="B156" s="131" t="s">
        <v>217</v>
      </c>
      <c r="C156" s="128">
        <v>98.6</v>
      </c>
      <c r="D156" s="121" t="s">
        <v>184</v>
      </c>
      <c r="E156" s="122" t="s">
        <v>184</v>
      </c>
      <c r="F156" s="122" t="s">
        <v>184</v>
      </c>
      <c r="G156" s="121" t="s">
        <v>184</v>
      </c>
      <c r="H156" s="121" t="s">
        <v>184</v>
      </c>
      <c r="I156" s="121" t="s">
        <v>184</v>
      </c>
      <c r="J156" s="121" t="s">
        <v>184</v>
      </c>
      <c r="K156" s="121" t="s">
        <v>184</v>
      </c>
      <c r="L156" s="125">
        <v>122.85</v>
      </c>
      <c r="M156" s="123" t="s">
        <v>184</v>
      </c>
      <c r="N156" s="123" t="s">
        <v>184</v>
      </c>
      <c r="O156" s="125">
        <f>L156</f>
        <v>122.85</v>
      </c>
      <c r="P156" s="123" t="s">
        <v>184</v>
      </c>
      <c r="Q156" s="123" t="s">
        <v>184</v>
      </c>
      <c r="R156" s="124">
        <f t="shared" ref="R156:R164" si="130">O156/C156</f>
        <v>1.2459432048681542</v>
      </c>
      <c r="S156" s="123" t="s">
        <v>184</v>
      </c>
      <c r="T156" s="123" t="s">
        <v>184</v>
      </c>
      <c r="U156" s="123" t="s">
        <v>184</v>
      </c>
      <c r="V156" s="123" t="s">
        <v>184</v>
      </c>
      <c r="W156" s="123" t="s">
        <v>184</v>
      </c>
      <c r="X156" s="123" t="s">
        <v>184</v>
      </c>
      <c r="Y156" s="125">
        <f t="shared" ref="Y156:Y158" si="131">O156</f>
        <v>122.85</v>
      </c>
      <c r="Z156" s="123" t="s">
        <v>184</v>
      </c>
      <c r="AA156" s="123" t="s">
        <v>184</v>
      </c>
      <c r="AB156" s="19">
        <f t="shared" si="129"/>
        <v>1.2459432048681542</v>
      </c>
    </row>
    <row r="157" spans="1:28" ht="54" customHeight="1" x14ac:dyDescent="0.25">
      <c r="A157" s="15"/>
      <c r="B157" s="131" t="s">
        <v>218</v>
      </c>
      <c r="C157" s="128">
        <v>2138.64</v>
      </c>
      <c r="D157" s="121" t="s">
        <v>184</v>
      </c>
      <c r="E157" s="122" t="s">
        <v>184</v>
      </c>
      <c r="F157" s="122" t="s">
        <v>184</v>
      </c>
      <c r="G157" s="121" t="s">
        <v>184</v>
      </c>
      <c r="H157" s="121" t="s">
        <v>184</v>
      </c>
      <c r="I157" s="121" t="s">
        <v>184</v>
      </c>
      <c r="J157" s="121" t="s">
        <v>184</v>
      </c>
      <c r="K157" s="121" t="s">
        <v>184</v>
      </c>
      <c r="L157" s="125">
        <v>2208.06</v>
      </c>
      <c r="M157" s="123" t="s">
        <v>184</v>
      </c>
      <c r="N157" s="123" t="s">
        <v>184</v>
      </c>
      <c r="O157" s="133">
        <v>2220.06</v>
      </c>
      <c r="P157" s="123" t="s">
        <v>184</v>
      </c>
      <c r="Q157" s="123" t="s">
        <v>184</v>
      </c>
      <c r="R157" s="124">
        <f t="shared" si="130"/>
        <v>1.0380709235776007</v>
      </c>
      <c r="S157" s="123" t="s">
        <v>184</v>
      </c>
      <c r="T157" s="123" t="s">
        <v>184</v>
      </c>
      <c r="U157" s="123" t="s">
        <v>184</v>
      </c>
      <c r="V157" s="123" t="s">
        <v>184</v>
      </c>
      <c r="W157" s="123" t="s">
        <v>184</v>
      </c>
      <c r="X157" s="123" t="s">
        <v>184</v>
      </c>
      <c r="Y157" s="125">
        <f>O157+7+5</f>
        <v>2232.06</v>
      </c>
      <c r="Z157" s="123" t="s">
        <v>184</v>
      </c>
      <c r="AA157" s="123" t="s">
        <v>184</v>
      </c>
      <c r="AB157" s="19">
        <f t="shared" si="129"/>
        <v>1.0436819661093031</v>
      </c>
    </row>
    <row r="158" spans="1:28" ht="60.75" customHeight="1" x14ac:dyDescent="0.25">
      <c r="A158" s="15"/>
      <c r="B158" s="131" t="s">
        <v>219</v>
      </c>
      <c r="C158" s="128">
        <v>7</v>
      </c>
      <c r="D158" s="121" t="s">
        <v>184</v>
      </c>
      <c r="E158" s="122" t="s">
        <v>184</v>
      </c>
      <c r="F158" s="122" t="s">
        <v>184</v>
      </c>
      <c r="G158" s="121" t="s">
        <v>184</v>
      </c>
      <c r="H158" s="121" t="s">
        <v>184</v>
      </c>
      <c r="I158" s="121" t="s">
        <v>184</v>
      </c>
      <c r="J158" s="121" t="s">
        <v>184</v>
      </c>
      <c r="K158" s="121" t="s">
        <v>184</v>
      </c>
      <c r="L158" s="125">
        <v>10</v>
      </c>
      <c r="M158" s="123" t="s">
        <v>184</v>
      </c>
      <c r="N158" s="123" t="s">
        <v>184</v>
      </c>
      <c r="O158" s="133">
        <f>L158</f>
        <v>10</v>
      </c>
      <c r="P158" s="123" t="s">
        <v>184</v>
      </c>
      <c r="Q158" s="123" t="s">
        <v>184</v>
      </c>
      <c r="R158" s="124">
        <f t="shared" si="130"/>
        <v>1.4285714285714286</v>
      </c>
      <c r="S158" s="123" t="s">
        <v>184</v>
      </c>
      <c r="T158" s="123" t="s">
        <v>184</v>
      </c>
      <c r="U158" s="123" t="s">
        <v>184</v>
      </c>
      <c r="V158" s="123" t="s">
        <v>184</v>
      </c>
      <c r="W158" s="123" t="s">
        <v>184</v>
      </c>
      <c r="X158" s="123" t="s">
        <v>184</v>
      </c>
      <c r="Y158" s="125">
        <f t="shared" si="131"/>
        <v>10</v>
      </c>
      <c r="Z158" s="123" t="s">
        <v>184</v>
      </c>
      <c r="AA158" s="123" t="s">
        <v>184</v>
      </c>
      <c r="AB158" s="19">
        <f t="shared" si="129"/>
        <v>1.4285714285714286</v>
      </c>
    </row>
    <row r="159" spans="1:28" s="167" customFormat="1" ht="21" customHeight="1" x14ac:dyDescent="0.25">
      <c r="A159" s="15"/>
      <c r="B159" s="135" t="s">
        <v>215</v>
      </c>
      <c r="C159" s="120">
        <f>C155+C156+C157+C158</f>
        <v>2329.69</v>
      </c>
      <c r="D159" s="121" t="s">
        <v>184</v>
      </c>
      <c r="E159" s="121" t="s">
        <v>184</v>
      </c>
      <c r="F159" s="121" t="s">
        <v>184</v>
      </c>
      <c r="G159" s="121" t="s">
        <v>184</v>
      </c>
      <c r="H159" s="121" t="s">
        <v>184</v>
      </c>
      <c r="I159" s="121" t="s">
        <v>184</v>
      </c>
      <c r="J159" s="121" t="s">
        <v>184</v>
      </c>
      <c r="K159" s="121" t="s">
        <v>184</v>
      </c>
      <c r="L159" s="120">
        <f>L155+L156+L157+L158</f>
        <v>2448.86</v>
      </c>
      <c r="M159" s="121" t="s">
        <v>184</v>
      </c>
      <c r="N159" s="121" t="s">
        <v>184</v>
      </c>
      <c r="O159" s="170">
        <f>O155+O156+O157+O158</f>
        <v>2453.86</v>
      </c>
      <c r="P159" s="123" t="s">
        <v>184</v>
      </c>
      <c r="Q159" s="123" t="s">
        <v>184</v>
      </c>
      <c r="R159" s="124">
        <f t="shared" si="130"/>
        <v>1.0532989367684114</v>
      </c>
      <c r="S159" s="123" t="s">
        <v>184</v>
      </c>
      <c r="T159" s="123" t="s">
        <v>184</v>
      </c>
      <c r="U159" s="123" t="s">
        <v>184</v>
      </c>
      <c r="V159" s="123" t="s">
        <v>184</v>
      </c>
      <c r="W159" s="123" t="s">
        <v>184</v>
      </c>
      <c r="X159" s="123" t="s">
        <v>184</v>
      </c>
      <c r="Y159" s="134">
        <f>Y155+Y156+Y157+Y158</f>
        <v>2465.86</v>
      </c>
      <c r="Z159" s="123" t="s">
        <v>184</v>
      </c>
      <c r="AA159" s="123" t="s">
        <v>184</v>
      </c>
      <c r="AB159" s="51">
        <f t="shared" si="129"/>
        <v>1.0584498366735489</v>
      </c>
    </row>
    <row r="160" spans="1:28" ht="23.25" customHeight="1" x14ac:dyDescent="0.25">
      <c r="A160" s="15" t="s">
        <v>193</v>
      </c>
      <c r="B160" s="135" t="s">
        <v>194</v>
      </c>
      <c r="C160" s="128">
        <f>C161+C163+C164+C162</f>
        <v>56</v>
      </c>
      <c r="D160" s="121" t="s">
        <v>184</v>
      </c>
      <c r="E160" s="122" t="s">
        <v>184</v>
      </c>
      <c r="F160" s="121" t="s">
        <v>184</v>
      </c>
      <c r="G160" s="121" t="s">
        <v>184</v>
      </c>
      <c r="H160" s="121" t="s">
        <v>184</v>
      </c>
      <c r="I160" s="121" t="s">
        <v>184</v>
      </c>
      <c r="J160" s="121" t="s">
        <v>184</v>
      </c>
      <c r="K160" s="121" t="s">
        <v>184</v>
      </c>
      <c r="L160" s="136">
        <f>L161+L163+L164+L162</f>
        <v>57</v>
      </c>
      <c r="M160" s="123" t="s">
        <v>184</v>
      </c>
      <c r="N160" s="123" t="s">
        <v>184</v>
      </c>
      <c r="O160" s="136">
        <f>O161+O163+O164+O162</f>
        <v>57</v>
      </c>
      <c r="P160" s="123" t="s">
        <v>184</v>
      </c>
      <c r="Q160" s="123" t="s">
        <v>184</v>
      </c>
      <c r="R160" s="124">
        <f t="shared" si="130"/>
        <v>1.0178571428571428</v>
      </c>
      <c r="S160" s="136">
        <f>S161+S163+S164+S162</f>
        <v>0</v>
      </c>
      <c r="T160" s="123" t="s">
        <v>184</v>
      </c>
      <c r="U160" s="123" t="s">
        <v>184</v>
      </c>
      <c r="V160" s="123" t="s">
        <v>184</v>
      </c>
      <c r="W160" s="123" t="s">
        <v>184</v>
      </c>
      <c r="X160" s="123" t="s">
        <v>184</v>
      </c>
      <c r="Y160" s="136">
        <f>O160</f>
        <v>57</v>
      </c>
      <c r="Z160" s="123" t="s">
        <v>184</v>
      </c>
      <c r="AA160" s="123" t="s">
        <v>184</v>
      </c>
      <c r="AB160" s="19">
        <f t="shared" si="129"/>
        <v>1.0178571428571428</v>
      </c>
    </row>
    <row r="161" spans="1:28" x14ac:dyDescent="0.25">
      <c r="A161" s="15"/>
      <c r="B161" s="135" t="s">
        <v>195</v>
      </c>
      <c r="C161" s="128">
        <v>6</v>
      </c>
      <c r="D161" s="121" t="s">
        <v>184</v>
      </c>
      <c r="E161" s="122" t="s">
        <v>184</v>
      </c>
      <c r="F161" s="121" t="s">
        <v>184</v>
      </c>
      <c r="G161" s="121" t="s">
        <v>184</v>
      </c>
      <c r="H161" s="121" t="s">
        <v>184</v>
      </c>
      <c r="I161" s="121" t="s">
        <v>184</v>
      </c>
      <c r="J161" s="121" t="s">
        <v>184</v>
      </c>
      <c r="K161" s="121" t="s">
        <v>184</v>
      </c>
      <c r="L161" s="132">
        <v>7</v>
      </c>
      <c r="M161" s="123" t="s">
        <v>184</v>
      </c>
      <c r="N161" s="123" t="s">
        <v>184</v>
      </c>
      <c r="O161" s="133">
        <f>L161</f>
        <v>7</v>
      </c>
      <c r="P161" s="123" t="s">
        <v>184</v>
      </c>
      <c r="Q161" s="123" t="s">
        <v>184</v>
      </c>
      <c r="R161" s="124">
        <f t="shared" si="130"/>
        <v>1.1666666666666667</v>
      </c>
      <c r="S161" s="125"/>
      <c r="T161" s="123" t="s">
        <v>184</v>
      </c>
      <c r="U161" s="123" t="s">
        <v>184</v>
      </c>
      <c r="V161" s="123" t="s">
        <v>184</v>
      </c>
      <c r="W161" s="123" t="s">
        <v>184</v>
      </c>
      <c r="X161" s="123" t="s">
        <v>184</v>
      </c>
      <c r="Y161" s="134">
        <f>O161</f>
        <v>7</v>
      </c>
      <c r="Z161" s="123" t="s">
        <v>184</v>
      </c>
      <c r="AA161" s="123" t="s">
        <v>184</v>
      </c>
      <c r="AB161" s="19">
        <f t="shared" si="129"/>
        <v>1.1666666666666667</v>
      </c>
    </row>
    <row r="162" spans="1:28" x14ac:dyDescent="0.25">
      <c r="A162" s="15"/>
      <c r="B162" s="135" t="s">
        <v>196</v>
      </c>
      <c r="C162" s="128">
        <v>4</v>
      </c>
      <c r="D162" s="121" t="s">
        <v>184</v>
      </c>
      <c r="E162" s="122" t="s">
        <v>184</v>
      </c>
      <c r="F162" s="121" t="s">
        <v>184</v>
      </c>
      <c r="G162" s="121" t="s">
        <v>184</v>
      </c>
      <c r="H162" s="121" t="s">
        <v>184</v>
      </c>
      <c r="I162" s="121" t="s">
        <v>184</v>
      </c>
      <c r="J162" s="121" t="s">
        <v>184</v>
      </c>
      <c r="K162" s="121" t="s">
        <v>184</v>
      </c>
      <c r="L162" s="132">
        <v>4</v>
      </c>
      <c r="M162" s="123" t="s">
        <v>184</v>
      </c>
      <c r="N162" s="123" t="s">
        <v>184</v>
      </c>
      <c r="O162" s="133">
        <f>L162</f>
        <v>4</v>
      </c>
      <c r="P162" s="123" t="s">
        <v>184</v>
      </c>
      <c r="Q162" s="123" t="s">
        <v>184</v>
      </c>
      <c r="R162" s="124">
        <f t="shared" si="130"/>
        <v>1</v>
      </c>
      <c r="S162" s="125"/>
      <c r="T162" s="123" t="s">
        <v>184</v>
      </c>
      <c r="U162" s="123" t="s">
        <v>184</v>
      </c>
      <c r="V162" s="123" t="s">
        <v>184</v>
      </c>
      <c r="W162" s="123" t="s">
        <v>184</v>
      </c>
      <c r="X162" s="123" t="s">
        <v>184</v>
      </c>
      <c r="Y162" s="134">
        <f t="shared" ref="Y162:Y164" si="132">O162</f>
        <v>4</v>
      </c>
      <c r="Z162" s="123" t="s">
        <v>184</v>
      </c>
      <c r="AA162" s="123" t="s">
        <v>184</v>
      </c>
      <c r="AB162" s="19">
        <f t="shared" si="129"/>
        <v>1</v>
      </c>
    </row>
    <row r="163" spans="1:28" x14ac:dyDescent="0.25">
      <c r="A163" s="15"/>
      <c r="B163" s="135" t="s">
        <v>197</v>
      </c>
      <c r="C163" s="128">
        <v>45</v>
      </c>
      <c r="D163" s="121" t="s">
        <v>184</v>
      </c>
      <c r="E163" s="122" t="s">
        <v>184</v>
      </c>
      <c r="F163" s="121" t="s">
        <v>184</v>
      </c>
      <c r="G163" s="121" t="s">
        <v>184</v>
      </c>
      <c r="H163" s="121" t="s">
        <v>184</v>
      </c>
      <c r="I163" s="121" t="s">
        <v>184</v>
      </c>
      <c r="J163" s="121" t="s">
        <v>184</v>
      </c>
      <c r="K163" s="121" t="s">
        <v>184</v>
      </c>
      <c r="L163" s="132">
        <v>45</v>
      </c>
      <c r="M163" s="123" t="s">
        <v>184</v>
      </c>
      <c r="N163" s="123" t="s">
        <v>184</v>
      </c>
      <c r="O163" s="133">
        <f>L163</f>
        <v>45</v>
      </c>
      <c r="P163" s="123" t="s">
        <v>184</v>
      </c>
      <c r="Q163" s="123" t="s">
        <v>184</v>
      </c>
      <c r="R163" s="124">
        <f t="shared" si="130"/>
        <v>1</v>
      </c>
      <c r="S163" s="125"/>
      <c r="T163" s="123" t="s">
        <v>184</v>
      </c>
      <c r="U163" s="123" t="s">
        <v>184</v>
      </c>
      <c r="V163" s="123" t="s">
        <v>184</v>
      </c>
      <c r="W163" s="123" t="s">
        <v>184</v>
      </c>
      <c r="X163" s="123" t="s">
        <v>184</v>
      </c>
      <c r="Y163" s="134">
        <f t="shared" si="132"/>
        <v>45</v>
      </c>
      <c r="Z163" s="123" t="s">
        <v>184</v>
      </c>
      <c r="AA163" s="123" t="s">
        <v>184</v>
      </c>
      <c r="AB163" s="19">
        <f t="shared" si="129"/>
        <v>1</v>
      </c>
    </row>
    <row r="164" spans="1:28" x14ac:dyDescent="0.25">
      <c r="A164" s="15"/>
      <c r="B164" s="88" t="s">
        <v>198</v>
      </c>
      <c r="C164" s="128">
        <v>1</v>
      </c>
      <c r="D164" s="121" t="s">
        <v>184</v>
      </c>
      <c r="E164" s="122" t="s">
        <v>184</v>
      </c>
      <c r="F164" s="121" t="s">
        <v>184</v>
      </c>
      <c r="G164" s="121" t="s">
        <v>184</v>
      </c>
      <c r="H164" s="121" t="s">
        <v>184</v>
      </c>
      <c r="I164" s="121" t="s">
        <v>184</v>
      </c>
      <c r="J164" s="121" t="s">
        <v>184</v>
      </c>
      <c r="K164" s="121" t="s">
        <v>184</v>
      </c>
      <c r="L164" s="132">
        <v>1</v>
      </c>
      <c r="M164" s="123" t="s">
        <v>184</v>
      </c>
      <c r="N164" s="123" t="s">
        <v>184</v>
      </c>
      <c r="O164" s="133">
        <f>L164</f>
        <v>1</v>
      </c>
      <c r="P164" s="123" t="s">
        <v>184</v>
      </c>
      <c r="Q164" s="123" t="s">
        <v>184</v>
      </c>
      <c r="R164" s="124">
        <f t="shared" si="130"/>
        <v>1</v>
      </c>
      <c r="S164" s="134"/>
      <c r="T164" s="123" t="s">
        <v>184</v>
      </c>
      <c r="U164" s="123" t="s">
        <v>184</v>
      </c>
      <c r="V164" s="123" t="s">
        <v>184</v>
      </c>
      <c r="W164" s="123" t="s">
        <v>184</v>
      </c>
      <c r="X164" s="123" t="s">
        <v>184</v>
      </c>
      <c r="Y164" s="134">
        <f t="shared" si="132"/>
        <v>1</v>
      </c>
      <c r="Z164" s="123" t="s">
        <v>184</v>
      </c>
      <c r="AA164" s="123" t="s">
        <v>184</v>
      </c>
      <c r="AB164" s="19">
        <f t="shared" si="129"/>
        <v>1</v>
      </c>
    </row>
    <row r="165" spans="1:28" ht="25.5" x14ac:dyDescent="0.25">
      <c r="A165" s="15" t="s">
        <v>199</v>
      </c>
      <c r="B165" s="32" t="s">
        <v>200</v>
      </c>
      <c r="C165" s="115">
        <f>C55+C56+C69+C89+C90</f>
        <v>1602533.5637999999</v>
      </c>
      <c r="D165" s="115">
        <f t="shared" ref="D165:Z165" si="133">D55+D56+D69+D89+D90</f>
        <v>1004939.40455</v>
      </c>
      <c r="E165" s="137">
        <f t="shared" si="133"/>
        <v>597594.15924999991</v>
      </c>
      <c r="F165" s="115">
        <f t="shared" si="133"/>
        <v>786707.71428000007</v>
      </c>
      <c r="G165" s="115">
        <f t="shared" si="133"/>
        <v>505946.15834000002</v>
      </c>
      <c r="H165" s="137">
        <f t="shared" si="133"/>
        <v>280761.55593999993</v>
      </c>
      <c r="I165" s="115">
        <f>I55+I56+I69+I89+I90</f>
        <v>121138.76405000003</v>
      </c>
      <c r="J165" s="115">
        <f t="shared" si="133"/>
        <v>62383.024949999934</v>
      </c>
      <c r="K165" s="137">
        <f t="shared" si="133"/>
        <v>58755.739100000093</v>
      </c>
      <c r="L165" s="115">
        <f t="shared" si="133"/>
        <v>1736107.0977</v>
      </c>
      <c r="M165" s="115">
        <f t="shared" si="133"/>
        <v>1099406.6976999999</v>
      </c>
      <c r="N165" s="137">
        <f t="shared" si="133"/>
        <v>636700.4</v>
      </c>
      <c r="O165" s="115">
        <f t="shared" si="133"/>
        <v>1844170.5108399999</v>
      </c>
      <c r="P165" s="115">
        <f t="shared" si="133"/>
        <v>1202084.8023600001</v>
      </c>
      <c r="Q165" s="137">
        <f t="shared" si="133"/>
        <v>642085.70847999968</v>
      </c>
      <c r="R165" s="51">
        <f t="shared" ref="R165:R166" si="134">Q165/E165</f>
        <v>1.0744511112455284</v>
      </c>
      <c r="S165" s="115">
        <f t="shared" si="133"/>
        <v>901803.35139999993</v>
      </c>
      <c r="T165" s="115">
        <f t="shared" si="133"/>
        <v>592244.52454999997</v>
      </c>
      <c r="U165" s="137">
        <f t="shared" si="133"/>
        <v>309558.82685000001</v>
      </c>
      <c r="V165" s="115">
        <f t="shared" si="133"/>
        <v>130928.09</v>
      </c>
      <c r="W165" s="115">
        <f t="shared" si="133"/>
        <v>80647.08</v>
      </c>
      <c r="X165" s="137">
        <f t="shared" si="133"/>
        <v>50281.009999999995</v>
      </c>
      <c r="Y165" s="115">
        <f t="shared" si="133"/>
        <v>1844170.5108399999</v>
      </c>
      <c r="Z165" s="115">
        <f t="shared" si="133"/>
        <v>1202084.8023600001</v>
      </c>
      <c r="AA165" s="137">
        <f>AA55+AA56+AA69+AA89+AA90</f>
        <v>642085.70847999968</v>
      </c>
      <c r="AB165" s="51">
        <f t="shared" ref="AB165:AB166" si="135">AA165/E165</f>
        <v>1.0744511112455284</v>
      </c>
    </row>
    <row r="166" spans="1:28" ht="25.5" x14ac:dyDescent="0.25">
      <c r="A166" s="15" t="s">
        <v>201</v>
      </c>
      <c r="B166" s="32" t="s">
        <v>202</v>
      </c>
      <c r="C166" s="115">
        <f>C59+C76+C93</f>
        <v>159951.94009000002</v>
      </c>
      <c r="D166" s="115">
        <f t="shared" ref="D166:AA166" si="136">D59+D76+D93</f>
        <v>585.20132000000001</v>
      </c>
      <c r="E166" s="137">
        <f t="shared" si="136"/>
        <v>159366.73877000003</v>
      </c>
      <c r="F166" s="115">
        <f t="shared" si="136"/>
        <v>96750.678240000008</v>
      </c>
      <c r="G166" s="115">
        <f t="shared" si="136"/>
        <v>289.70850000000002</v>
      </c>
      <c r="H166" s="137">
        <f t="shared" si="136"/>
        <v>96460.96974</v>
      </c>
      <c r="I166" s="115">
        <f t="shared" si="136"/>
        <v>5306.9978099999971</v>
      </c>
      <c r="J166" s="115">
        <f t="shared" si="136"/>
        <v>61.516660000000002</v>
      </c>
      <c r="K166" s="137">
        <f t="shared" si="136"/>
        <v>5245.4811499999978</v>
      </c>
      <c r="L166" s="115">
        <f t="shared" si="136"/>
        <v>171106.15100000001</v>
      </c>
      <c r="M166" s="115">
        <f t="shared" si="136"/>
        <v>197.44499999999999</v>
      </c>
      <c r="N166" s="137">
        <f t="shared" si="136"/>
        <v>170908.70600000001</v>
      </c>
      <c r="O166" s="115">
        <f t="shared" si="136"/>
        <v>212824.38613999999</v>
      </c>
      <c r="P166" s="115">
        <f t="shared" si="136"/>
        <v>721.29749000000004</v>
      </c>
      <c r="Q166" s="137">
        <f t="shared" si="136"/>
        <v>212103.08864999999</v>
      </c>
      <c r="R166" s="51">
        <f t="shared" si="134"/>
        <v>1.330911897219091</v>
      </c>
      <c r="S166" s="115">
        <f t="shared" si="136"/>
        <v>108998.98686000002</v>
      </c>
      <c r="T166" s="115">
        <f t="shared" si="136"/>
        <v>0</v>
      </c>
      <c r="U166" s="137">
        <f t="shared" si="136"/>
        <v>108998.98686000002</v>
      </c>
      <c r="V166" s="115">
        <f t="shared" si="136"/>
        <v>7906.4000000000005</v>
      </c>
      <c r="W166" s="115">
        <f t="shared" si="136"/>
        <v>0</v>
      </c>
      <c r="X166" s="137">
        <f t="shared" si="136"/>
        <v>7906.4000000000005</v>
      </c>
      <c r="Y166" s="115">
        <f t="shared" si="136"/>
        <v>212824.38613999999</v>
      </c>
      <c r="Z166" s="115">
        <f t="shared" si="136"/>
        <v>721.29749000000004</v>
      </c>
      <c r="AA166" s="137">
        <f t="shared" si="136"/>
        <v>212103.08864999999</v>
      </c>
      <c r="AB166" s="51">
        <f t="shared" si="135"/>
        <v>1.330911897219091</v>
      </c>
    </row>
    <row r="167" spans="1:28" s="156" customFormat="1" ht="153.75" customHeight="1" x14ac:dyDescent="0.25">
      <c r="A167" s="138" t="s">
        <v>203</v>
      </c>
      <c r="B167" s="165" t="s">
        <v>206</v>
      </c>
      <c r="C167" s="139">
        <f>D167+E167</f>
        <v>187834.86</v>
      </c>
      <c r="D167" s="139">
        <f>81855+352.7</f>
        <v>82207.7</v>
      </c>
      <c r="E167" s="139">
        <f>95898+9729.16</f>
        <v>105627.16</v>
      </c>
      <c r="F167" s="172">
        <f>G167+H167</f>
        <v>62317</v>
      </c>
      <c r="G167" s="139">
        <v>27722</v>
      </c>
      <c r="H167" s="139">
        <v>34595</v>
      </c>
      <c r="I167" s="161" t="s">
        <v>184</v>
      </c>
      <c r="J167" s="161" t="s">
        <v>184</v>
      </c>
      <c r="K167" s="161" t="s">
        <v>184</v>
      </c>
      <c r="L167" s="139">
        <f>M167+N167</f>
        <v>210531</v>
      </c>
      <c r="M167" s="139">
        <f>333+92410</f>
        <v>92743</v>
      </c>
      <c r="N167" s="139">
        <f>9847+107941</f>
        <v>117788</v>
      </c>
      <c r="O167" s="139">
        <f>P167+Q167</f>
        <v>217329</v>
      </c>
      <c r="P167" s="139">
        <f>92410+302</f>
        <v>92712</v>
      </c>
      <c r="Q167" s="139">
        <f>120133+4484</f>
        <v>124617</v>
      </c>
      <c r="R167" s="140"/>
      <c r="S167" s="139">
        <f>T167+U167</f>
        <v>101765</v>
      </c>
      <c r="T167" s="139">
        <f>45822+80</f>
        <v>45902</v>
      </c>
      <c r="U167" s="139">
        <f>55326+537</f>
        <v>55863</v>
      </c>
      <c r="V167" s="161" t="s">
        <v>184</v>
      </c>
      <c r="W167" s="161" t="s">
        <v>184</v>
      </c>
      <c r="X167" s="161" t="s">
        <v>184</v>
      </c>
      <c r="Y167" s="139">
        <f>Z167+AA167</f>
        <v>217329</v>
      </c>
      <c r="Z167" s="139">
        <f>P167</f>
        <v>92712</v>
      </c>
      <c r="AA167" s="139">
        <f>Q167</f>
        <v>124617</v>
      </c>
      <c r="AB167" s="140"/>
    </row>
    <row r="168" spans="1:28" s="156" customFormat="1" ht="184.5" customHeight="1" x14ac:dyDescent="0.25">
      <c r="A168" s="138" t="s">
        <v>204</v>
      </c>
      <c r="B168" s="166" t="s">
        <v>207</v>
      </c>
      <c r="C168" s="139">
        <f>D168+E168</f>
        <v>686.1</v>
      </c>
      <c r="D168" s="141">
        <f>303+2.8</f>
        <v>305.8</v>
      </c>
      <c r="E168" s="139">
        <f>343+37.3</f>
        <v>380.3</v>
      </c>
      <c r="F168" s="142">
        <f>G168+H168</f>
        <v>800</v>
      </c>
      <c r="G168" s="141">
        <v>326</v>
      </c>
      <c r="H168" s="139">
        <v>474</v>
      </c>
      <c r="I168" s="162" t="s">
        <v>184</v>
      </c>
      <c r="J168" s="162" t="s">
        <v>184</v>
      </c>
      <c r="K168" s="162" t="s">
        <v>184</v>
      </c>
      <c r="L168" s="139">
        <f>M168+N168</f>
        <v>831</v>
      </c>
      <c r="M168" s="141">
        <f>4+324</f>
        <v>328</v>
      </c>
      <c r="N168" s="139">
        <f>435+68</f>
        <v>503</v>
      </c>
      <c r="O168" s="139">
        <f>P168+Q168</f>
        <v>759</v>
      </c>
      <c r="P168" s="141">
        <f>305+4</f>
        <v>309</v>
      </c>
      <c r="Q168" s="139">
        <f>382+68</f>
        <v>450</v>
      </c>
      <c r="R168" s="143"/>
      <c r="S168" s="139">
        <f>T168+U168</f>
        <v>782</v>
      </c>
      <c r="T168" s="141">
        <f>322+1</f>
        <v>323</v>
      </c>
      <c r="U168" s="139">
        <f>419+40</f>
        <v>459</v>
      </c>
      <c r="V168" s="162" t="s">
        <v>184</v>
      </c>
      <c r="W168" s="162" t="s">
        <v>184</v>
      </c>
      <c r="X168" s="162" t="s">
        <v>184</v>
      </c>
      <c r="Y168" s="139">
        <f>Z168+AA168</f>
        <v>759</v>
      </c>
      <c r="Z168" s="141">
        <f>P168</f>
        <v>309</v>
      </c>
      <c r="AA168" s="139">
        <f>Q168</f>
        <v>450</v>
      </c>
      <c r="AB168" s="143"/>
    </row>
    <row r="169" spans="1:28" s="156" customFormat="1" x14ac:dyDescent="0.25">
      <c r="B169" s="157"/>
      <c r="C169" s="158"/>
      <c r="D169" s="158"/>
      <c r="E169" s="159"/>
      <c r="F169" s="158"/>
      <c r="G169" s="158"/>
      <c r="H169" s="159"/>
      <c r="I169" s="158"/>
      <c r="J169" s="158"/>
      <c r="K169" s="159"/>
      <c r="L169" s="158"/>
      <c r="M169" s="158"/>
      <c r="N169" s="159"/>
      <c r="O169" s="158"/>
      <c r="P169" s="158"/>
      <c r="Q169" s="159"/>
      <c r="R169" s="160"/>
      <c r="S169" s="158"/>
      <c r="T169" s="158"/>
      <c r="U169" s="159"/>
      <c r="V169" s="158"/>
      <c r="W169" s="158"/>
      <c r="X169" s="159"/>
      <c r="Y169" s="158"/>
      <c r="Z169" s="158"/>
      <c r="AA169" s="159"/>
      <c r="AB169" s="160"/>
    </row>
    <row r="170" spans="1:28" s="156" customFormat="1" ht="15.75" x14ac:dyDescent="0.25">
      <c r="B170" s="144" t="s">
        <v>227</v>
      </c>
      <c r="C170" s="145"/>
      <c r="D170" s="145"/>
      <c r="E170" s="146"/>
      <c r="F170" s="147"/>
      <c r="G170" s="147"/>
      <c r="H170" s="148"/>
      <c r="I170" s="148"/>
      <c r="J170" s="148"/>
      <c r="K170" s="148"/>
      <c r="L170" s="149"/>
      <c r="M170" s="149"/>
      <c r="N170" s="149"/>
      <c r="O170" s="150"/>
      <c r="P170" s="150"/>
      <c r="Q170" s="150"/>
      <c r="R170" s="151"/>
      <c r="S170" s="152"/>
      <c r="T170" s="152"/>
      <c r="U170" s="152"/>
      <c r="V170" s="152"/>
      <c r="W170" s="152"/>
      <c r="X170" s="152"/>
      <c r="Y170" s="152"/>
      <c r="Z170" s="152"/>
      <c r="AA170" s="152"/>
      <c r="AB170" s="153"/>
    </row>
    <row r="171" spans="1:28" s="156" customFormat="1" ht="15.75" x14ac:dyDescent="0.25">
      <c r="B171" s="144" t="s">
        <v>205</v>
      </c>
      <c r="C171" s="145"/>
      <c r="D171" s="145"/>
      <c r="E171" s="146"/>
      <c r="F171" s="147"/>
      <c r="G171" s="147"/>
      <c r="H171" s="148"/>
      <c r="I171" s="148"/>
      <c r="J171" s="148"/>
      <c r="K171" s="148"/>
      <c r="L171" s="149"/>
      <c r="M171" s="149"/>
      <c r="N171" s="149"/>
      <c r="O171" s="150"/>
      <c r="P171" s="150"/>
      <c r="Q171" s="150"/>
      <c r="R171" s="151"/>
      <c r="S171" s="152"/>
      <c r="T171" s="152"/>
      <c r="U171" s="152"/>
      <c r="V171" s="152"/>
      <c r="W171" s="152"/>
      <c r="X171" s="152"/>
      <c r="Y171" s="152"/>
      <c r="Z171" s="152"/>
      <c r="AA171" s="152"/>
      <c r="AB171" s="153"/>
    </row>
    <row r="172" spans="1:28" s="156" customFormat="1" ht="15.75" x14ac:dyDescent="0.25">
      <c r="B172" s="144"/>
      <c r="C172" s="145"/>
      <c r="D172" s="145"/>
      <c r="E172" s="146"/>
      <c r="F172" s="147"/>
      <c r="G172" s="147"/>
      <c r="H172" s="148"/>
      <c r="I172" s="148"/>
      <c r="J172" s="148"/>
      <c r="K172" s="148"/>
      <c r="L172" s="149"/>
      <c r="M172" s="149"/>
      <c r="N172" s="149"/>
      <c r="O172" s="150"/>
      <c r="P172" s="150"/>
      <c r="Q172" s="150"/>
      <c r="R172" s="151"/>
      <c r="S172" s="152"/>
      <c r="T172" s="152"/>
      <c r="U172" s="152"/>
      <c r="V172" s="152"/>
      <c r="W172" s="152"/>
      <c r="X172" s="152"/>
      <c r="Y172" s="152"/>
      <c r="Z172" s="152"/>
      <c r="AA172" s="152"/>
      <c r="AB172" s="153"/>
    </row>
    <row r="173" spans="1:28" s="156" customFormat="1" ht="15.75" x14ac:dyDescent="0.25">
      <c r="B173" s="144" t="s">
        <v>226</v>
      </c>
      <c r="C173" s="145"/>
      <c r="D173" s="145"/>
      <c r="E173" s="146"/>
      <c r="F173" s="147"/>
      <c r="G173" s="147"/>
      <c r="H173" s="148"/>
      <c r="I173" s="148"/>
      <c r="J173" s="148"/>
      <c r="K173" s="148"/>
      <c r="L173" s="149"/>
      <c r="M173" s="149"/>
      <c r="N173" s="149"/>
      <c r="O173" s="150"/>
      <c r="P173" s="150"/>
      <c r="Q173" s="150"/>
      <c r="R173" s="151"/>
      <c r="S173" s="152"/>
      <c r="T173" s="152"/>
      <c r="U173" s="152"/>
      <c r="V173" s="152"/>
      <c r="W173" s="152"/>
      <c r="X173" s="152"/>
      <c r="Y173" s="152"/>
      <c r="Z173" s="152"/>
      <c r="AA173" s="152"/>
      <c r="AB173" s="153"/>
    </row>
    <row r="174" spans="1:28" s="156" customFormat="1" ht="15.75" x14ac:dyDescent="0.25">
      <c r="B174" s="145"/>
      <c r="C174" s="145"/>
      <c r="D174" s="145"/>
      <c r="E174" s="146"/>
      <c r="F174" s="147"/>
      <c r="G174" s="147"/>
      <c r="H174" s="148"/>
      <c r="I174" s="148"/>
      <c r="J174" s="148"/>
      <c r="K174" s="148"/>
      <c r="L174" s="149"/>
      <c r="M174" s="149"/>
      <c r="N174" s="149"/>
      <c r="O174" s="150"/>
      <c r="P174" s="150"/>
      <c r="Q174" s="150"/>
      <c r="R174" s="151"/>
      <c r="S174" s="152"/>
      <c r="T174" s="152"/>
      <c r="U174" s="152"/>
      <c r="V174" s="152"/>
      <c r="W174" s="152"/>
      <c r="X174" s="152"/>
      <c r="Y174" s="152"/>
      <c r="Z174" s="152"/>
      <c r="AA174" s="152"/>
      <c r="AB174" s="153"/>
    </row>
    <row r="175" spans="1:28" s="156" customFormat="1" x14ac:dyDescent="0.25">
      <c r="B175" s="154"/>
      <c r="C175" s="154"/>
      <c r="D175" s="154"/>
      <c r="E175" s="155"/>
      <c r="F175" s="149"/>
      <c r="G175" s="149"/>
      <c r="H175" s="148"/>
      <c r="I175" s="148"/>
      <c r="J175" s="148"/>
      <c r="K175" s="148"/>
      <c r="L175" s="149"/>
      <c r="M175" s="149"/>
      <c r="N175" s="149"/>
      <c r="O175" s="150"/>
      <c r="P175" s="150"/>
      <c r="Q175" s="150"/>
      <c r="R175" s="151"/>
      <c r="S175" s="152"/>
      <c r="T175" s="152"/>
      <c r="U175" s="152"/>
      <c r="V175" s="152"/>
      <c r="W175" s="152"/>
      <c r="X175" s="152"/>
      <c r="Y175" s="152"/>
      <c r="Z175" s="152"/>
      <c r="AA175" s="152"/>
      <c r="AB175" s="153"/>
    </row>
    <row r="176" spans="1:28" s="156" customFormat="1" x14ac:dyDescent="0.25"/>
    <row r="177" spans="2:13" s="156" customFormat="1" x14ac:dyDescent="0.25"/>
    <row r="178" spans="2:13" x14ac:dyDescent="0.25">
      <c r="B178" s="156"/>
      <c r="C178" s="156"/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</row>
    <row r="179" spans="2:13" x14ac:dyDescent="0.25">
      <c r="B179" s="156"/>
      <c r="C179" s="156"/>
      <c r="D179" s="156"/>
      <c r="E179" s="156"/>
      <c r="F179" s="156"/>
      <c r="G179" s="156"/>
      <c r="H179" s="156"/>
      <c r="I179" s="156"/>
      <c r="J179" s="156"/>
      <c r="K179" s="156"/>
      <c r="L179" s="156"/>
      <c r="M179" s="156"/>
    </row>
    <row r="180" spans="2:13" x14ac:dyDescent="0.25">
      <c r="B180" s="156"/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</row>
    <row r="181" spans="2:13" x14ac:dyDescent="0.25">
      <c r="B181" s="156"/>
      <c r="C181" s="156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</row>
    <row r="182" spans="2:13" x14ac:dyDescent="0.25">
      <c r="B182" s="156"/>
      <c r="C182" s="156"/>
      <c r="D182" s="156"/>
      <c r="E182" s="156"/>
      <c r="F182" s="156"/>
      <c r="G182" s="156"/>
      <c r="H182" s="156"/>
      <c r="I182" s="156"/>
      <c r="J182" s="156"/>
      <c r="K182" s="156"/>
      <c r="L182" s="156"/>
      <c r="M182" s="156"/>
    </row>
    <row r="183" spans="2:13" x14ac:dyDescent="0.25">
      <c r="B183" s="156"/>
      <c r="C183" s="156"/>
      <c r="D183" s="156"/>
      <c r="E183" s="156"/>
      <c r="F183" s="156"/>
      <c r="G183" s="156"/>
      <c r="H183" s="156"/>
      <c r="I183" s="156"/>
      <c r="J183" s="156"/>
      <c r="K183" s="156"/>
      <c r="L183" s="156"/>
      <c r="M183" s="156"/>
    </row>
    <row r="184" spans="2:13" x14ac:dyDescent="0.25">
      <c r="B184" s="156"/>
      <c r="C184" s="156"/>
      <c r="D184" s="156"/>
      <c r="E184" s="156"/>
      <c r="F184" s="156"/>
      <c r="G184" s="156"/>
      <c r="H184" s="156"/>
      <c r="I184" s="156"/>
      <c r="J184" s="156"/>
      <c r="K184" s="156"/>
      <c r="L184" s="156"/>
      <c r="M184" s="156"/>
    </row>
    <row r="185" spans="2:13" x14ac:dyDescent="0.25">
      <c r="B185" s="156"/>
      <c r="C185" s="156"/>
      <c r="D185" s="156"/>
      <c r="E185" s="156"/>
      <c r="F185" s="156"/>
      <c r="G185" s="156"/>
      <c r="H185" s="156"/>
      <c r="I185" s="156"/>
      <c r="J185" s="156"/>
      <c r="K185" s="156"/>
      <c r="L185" s="156"/>
      <c r="M185" s="156"/>
    </row>
    <row r="186" spans="2:13" x14ac:dyDescent="0.25"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</row>
    <row r="187" spans="2:13" x14ac:dyDescent="0.25">
      <c r="B187" s="156"/>
      <c r="C187" s="156"/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</row>
    <row r="188" spans="2:13" x14ac:dyDescent="0.25">
      <c r="B188" s="156"/>
      <c r="C188" s="156"/>
      <c r="D188" s="156"/>
      <c r="E188" s="156"/>
      <c r="F188" s="156"/>
      <c r="G188" s="156"/>
      <c r="H188" s="156"/>
      <c r="I188" s="156"/>
      <c r="J188" s="156"/>
      <c r="K188" s="156"/>
      <c r="L188" s="156"/>
      <c r="M188" s="156"/>
    </row>
    <row r="189" spans="2:13" x14ac:dyDescent="0.25">
      <c r="B189" s="156"/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</row>
    <row r="190" spans="2:13" x14ac:dyDescent="0.25">
      <c r="B190" s="156"/>
      <c r="C190" s="156"/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</row>
    <row r="191" spans="2:13" x14ac:dyDescent="0.25">
      <c r="B191" s="156"/>
      <c r="C191" s="156"/>
      <c r="D191" s="156"/>
      <c r="E191" s="156"/>
      <c r="F191" s="156"/>
      <c r="G191" s="156"/>
      <c r="H191" s="156"/>
      <c r="I191" s="156"/>
      <c r="J191" s="156"/>
      <c r="K191" s="156"/>
      <c r="L191" s="156"/>
      <c r="M191" s="156"/>
    </row>
    <row r="192" spans="2:13" x14ac:dyDescent="0.25">
      <c r="B192" s="156"/>
      <c r="C192" s="156"/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</row>
    <row r="193" spans="2:13" x14ac:dyDescent="0.25">
      <c r="B193" s="156"/>
      <c r="C193" s="156"/>
      <c r="D193" s="156"/>
      <c r="E193" s="156"/>
      <c r="F193" s="156"/>
      <c r="G193" s="156"/>
      <c r="H193" s="156"/>
      <c r="I193" s="156"/>
      <c r="J193" s="156"/>
      <c r="K193" s="156"/>
      <c r="L193" s="156"/>
      <c r="M193" s="156"/>
    </row>
  </sheetData>
  <sheetProtection algorithmName="SHA-512" hashValue="XlVYl9Gq1CYd7PMq/QY856YpdpuXSOg09dETgo12p0gDjPvqVktlV8akkoiHax8wZihnqS64ZiHBkYDAxAQG3g==" saltValue="yjbTM+gw7FLLW+XUymn6ig==" spinCount="100000" sheet="1" objects="1" scenarios="1"/>
  <mergeCells count="31"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J4:K4"/>
    <mergeCell ref="L4:L5"/>
    <mergeCell ref="M4:N4"/>
    <mergeCell ref="O4:O5"/>
    <mergeCell ref="P4:Q4"/>
  </mergeCells>
  <pageMargins left="0.31496062992125984" right="0.11811023622047245" top="0" bottom="0" header="0.31496062992125984" footer="0.31496062992125984"/>
  <pageSetup paperSize="8" scale="55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2023-01-31T12:02:35Z</cp:lastPrinted>
  <dcterms:created xsi:type="dcterms:W3CDTF">2020-02-03T08:43:29Z</dcterms:created>
  <dcterms:modified xsi:type="dcterms:W3CDTF">2023-07-11T11:21:34Z</dcterms:modified>
</cp:coreProperties>
</file>