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Лист1!$A$1:$V$173</definedName>
  </definedNames>
  <calcPr calcId="145621"/>
</workbook>
</file>

<file path=xl/calcChain.xml><?xml version="1.0" encoding="utf-8"?>
<calcChain xmlns="http://schemas.openxmlformats.org/spreadsheetml/2006/main">
  <c r="R167" i="1" l="1"/>
  <c r="Q167" i="1"/>
  <c r="K168" i="1" l="1"/>
  <c r="J168" i="1"/>
  <c r="K167" i="1" l="1"/>
  <c r="J167" i="1"/>
  <c r="S125" i="1" l="1"/>
  <c r="T133" i="1"/>
  <c r="S137" i="1"/>
  <c r="P95" i="1"/>
  <c r="P94" i="1"/>
  <c r="P93" i="1"/>
  <c r="Q61" i="1"/>
  <c r="P61" i="1"/>
  <c r="Q60" i="1"/>
  <c r="P60" i="1"/>
  <c r="P59" i="1"/>
  <c r="R168" i="1" l="1"/>
  <c r="Q168" i="1"/>
  <c r="T138" i="1" l="1"/>
  <c r="T137" i="1"/>
  <c r="S133" i="1"/>
  <c r="S145" i="1"/>
  <c r="S140" i="1"/>
  <c r="T132" i="1"/>
  <c r="T145" i="1" s="1"/>
  <c r="T65" i="1"/>
  <c r="S45" i="1"/>
  <c r="S43" i="1"/>
  <c r="S77" i="1"/>
  <c r="S76" i="1"/>
  <c r="S74" i="1"/>
  <c r="S69" i="1" l="1"/>
  <c r="S67" i="1" l="1"/>
  <c r="P78" i="1" l="1"/>
  <c r="P77" i="1"/>
  <c r="P76" i="1"/>
  <c r="P74" i="1"/>
  <c r="P71" i="1"/>
  <c r="P69" i="1"/>
  <c r="P67" i="1"/>
  <c r="Q77" i="1" l="1"/>
  <c r="Q76" i="1"/>
  <c r="Q74" i="1"/>
  <c r="Q71" i="1"/>
  <c r="Q70" i="1"/>
  <c r="Q69" i="1"/>
  <c r="Q67" i="1"/>
  <c r="S128" i="1" l="1"/>
  <c r="S87" i="1"/>
  <c r="S53" i="1"/>
  <c r="T53" i="1"/>
  <c r="M125" i="1" l="1"/>
  <c r="N80" i="1" l="1"/>
  <c r="M80" i="1"/>
  <c r="M84" i="1"/>
  <c r="M83" i="1"/>
  <c r="M63" i="1"/>
  <c r="M62" i="1"/>
  <c r="M57" i="1"/>
  <c r="M53" i="1"/>
  <c r="J80" i="1"/>
  <c r="I80" i="1"/>
  <c r="I84" i="1"/>
  <c r="I83" i="1"/>
  <c r="I57" i="1"/>
  <c r="I53" i="1"/>
  <c r="I65" i="1" l="1"/>
  <c r="J65" i="1"/>
  <c r="J141" i="1"/>
  <c r="O168" i="1" l="1"/>
  <c r="O167" i="1"/>
  <c r="N168" i="1"/>
  <c r="N167" i="1"/>
  <c r="M94" i="1"/>
  <c r="M93" i="1"/>
  <c r="I94" i="1"/>
  <c r="I93" i="1"/>
  <c r="N61" i="1"/>
  <c r="N60" i="1"/>
  <c r="N59" i="1"/>
  <c r="M61" i="1"/>
  <c r="M60" i="1"/>
  <c r="M59" i="1"/>
  <c r="J61" i="1"/>
  <c r="J60" i="1"/>
  <c r="J59" i="1"/>
  <c r="I61" i="1"/>
  <c r="I60" i="1"/>
  <c r="I59" i="1"/>
  <c r="N69" i="1"/>
  <c r="N67" i="1"/>
  <c r="M78" i="1"/>
  <c r="M77" i="1"/>
  <c r="M76" i="1"/>
  <c r="M74" i="1"/>
  <c r="M71" i="1"/>
  <c r="M70" i="1"/>
  <c r="M69" i="1"/>
  <c r="M67" i="1"/>
  <c r="J69" i="1"/>
  <c r="J67" i="1"/>
  <c r="I78" i="1"/>
  <c r="I77" i="1"/>
  <c r="I76" i="1"/>
  <c r="I74" i="1"/>
  <c r="I71" i="1"/>
  <c r="I70" i="1"/>
  <c r="I69" i="1"/>
  <c r="I67" i="1"/>
  <c r="S60" i="1" l="1"/>
  <c r="S155" i="1" l="1"/>
  <c r="S156" i="1"/>
  <c r="S157" i="1"/>
  <c r="S158" i="1"/>
  <c r="S159" i="1"/>
  <c r="P167" i="1"/>
  <c r="P168" i="1"/>
  <c r="M95" i="1"/>
  <c r="I95" i="1"/>
  <c r="N78" i="1"/>
  <c r="N77" i="1"/>
  <c r="N74" i="1"/>
  <c r="N73" i="1"/>
  <c r="N70" i="1"/>
  <c r="M73" i="1"/>
  <c r="J78" i="1"/>
  <c r="J77" i="1"/>
  <c r="J74" i="1"/>
  <c r="J73" i="1"/>
  <c r="J70" i="1"/>
  <c r="I73" i="1"/>
  <c r="Q149" i="1" l="1"/>
  <c r="P149" i="1"/>
  <c r="P25" i="1" l="1"/>
  <c r="S12" i="1"/>
  <c r="M155" i="1" l="1"/>
  <c r="M157" i="1" l="1"/>
  <c r="M159" i="1" l="1"/>
  <c r="P157" i="1"/>
  <c r="P160" i="1"/>
  <c r="P159" i="1"/>
  <c r="M160" i="1"/>
  <c r="N57" i="1" l="1"/>
  <c r="N53" i="1"/>
  <c r="N56" i="1"/>
  <c r="N55" i="1"/>
  <c r="J57" i="1"/>
  <c r="J53" i="1"/>
  <c r="J55" i="1"/>
  <c r="M103" i="1"/>
  <c r="M91" i="1"/>
  <c r="M87" i="1"/>
  <c r="M90" i="1"/>
  <c r="M89" i="1"/>
  <c r="I103" i="1"/>
  <c r="I91" i="1"/>
  <c r="I87" i="1"/>
  <c r="I90" i="1"/>
  <c r="I89" i="1"/>
  <c r="P152" i="1" l="1"/>
  <c r="M41" i="1"/>
  <c r="M40" i="1"/>
  <c r="I25" i="1"/>
  <c r="M128" i="1"/>
  <c r="Q57" i="1" l="1"/>
  <c r="P57" i="1"/>
  <c r="Q91" i="1"/>
  <c r="P91" i="1"/>
  <c r="P103" i="1"/>
  <c r="P84" i="1"/>
  <c r="P53" i="1"/>
  <c r="Q53" i="1"/>
  <c r="P87" i="1"/>
  <c r="N45" i="1" l="1"/>
  <c r="N46" i="1"/>
  <c r="N47" i="1"/>
  <c r="Q90" i="1" l="1"/>
  <c r="Q89" i="1"/>
  <c r="S99" i="1"/>
  <c r="Q47" i="1"/>
  <c r="I157" i="1"/>
  <c r="S80" i="1" l="1"/>
  <c r="D78" i="1" l="1"/>
  <c r="J49" i="1" l="1"/>
  <c r="H168" i="1" l="1"/>
  <c r="G168" i="1"/>
  <c r="F168" i="1"/>
  <c r="T80" i="1" l="1"/>
  <c r="P39" i="1" l="1"/>
  <c r="T47" i="1"/>
  <c r="M39" i="1" l="1"/>
  <c r="I39" i="1"/>
  <c r="I168" i="1" l="1"/>
  <c r="I167" i="1"/>
  <c r="Q99" i="1"/>
  <c r="P99" i="1"/>
  <c r="N99" i="1"/>
  <c r="M99" i="1"/>
  <c r="J99" i="1"/>
  <c r="I99" i="1"/>
  <c r="N44" i="1" l="1"/>
  <c r="N43" i="1"/>
  <c r="T99" i="1" l="1"/>
  <c r="F55" i="1" l="1"/>
  <c r="M168" i="1" l="1"/>
  <c r="M167" i="1"/>
  <c r="S118" i="1" l="1"/>
  <c r="P118" i="1" l="1"/>
  <c r="C128" i="1" l="1"/>
  <c r="O106" i="1" l="1"/>
  <c r="K106" i="1"/>
  <c r="H106" i="1"/>
  <c r="H167" i="1" l="1"/>
  <c r="G167" i="1"/>
  <c r="Q44" i="1" l="1"/>
  <c r="Q43" i="1"/>
  <c r="Q46" i="1"/>
  <c r="Q45" i="1"/>
  <c r="Q87" i="1"/>
  <c r="Q80" i="1"/>
  <c r="P80" i="1"/>
  <c r="C149" i="1" l="1"/>
  <c r="C155" i="1" l="1"/>
  <c r="F167" i="1" l="1"/>
  <c r="M118" i="1" l="1"/>
  <c r="D77" i="1"/>
  <c r="D74" i="1"/>
  <c r="D70" i="1"/>
  <c r="D69" i="1"/>
  <c r="D67" i="1"/>
  <c r="C78" i="1" l="1"/>
  <c r="C77" i="1"/>
  <c r="C76" i="1"/>
  <c r="I118" i="1" l="1"/>
  <c r="F118" i="1"/>
  <c r="T44" i="1" l="1"/>
  <c r="T45" i="1"/>
  <c r="T46" i="1"/>
  <c r="T43" i="1"/>
  <c r="G45" i="1"/>
  <c r="I164" i="1" l="1"/>
  <c r="S164" i="1" s="1"/>
  <c r="I163" i="1"/>
  <c r="S163" i="1" s="1"/>
  <c r="I162" i="1"/>
  <c r="S162" i="1" s="1"/>
  <c r="I161" i="1"/>
  <c r="S161" i="1" s="1"/>
  <c r="I158" i="1"/>
  <c r="I156" i="1"/>
  <c r="J47" i="1"/>
  <c r="J46" i="1"/>
  <c r="J45" i="1"/>
  <c r="J44" i="1"/>
  <c r="J43" i="1"/>
  <c r="D94" i="1" l="1"/>
  <c r="C95" i="1"/>
  <c r="D61" i="1"/>
  <c r="D60" i="1"/>
  <c r="C94" i="1" l="1"/>
  <c r="C93" i="1"/>
  <c r="C61" i="1" l="1"/>
  <c r="C60" i="1"/>
  <c r="D59" i="1"/>
  <c r="C59" i="1"/>
  <c r="F99" i="1" l="1"/>
  <c r="F87" i="1"/>
  <c r="F95" i="1"/>
  <c r="F94" i="1"/>
  <c r="F93" i="1"/>
  <c r="G87" i="1"/>
  <c r="F80" i="1"/>
  <c r="G80" i="1"/>
  <c r="G61" i="1"/>
  <c r="F61" i="1"/>
  <c r="G60" i="1"/>
  <c r="F60" i="1"/>
  <c r="G59" i="1"/>
  <c r="F59" i="1"/>
  <c r="G55" i="1"/>
  <c r="G53" i="1" s="1"/>
  <c r="F53" i="1"/>
  <c r="G44" i="1"/>
  <c r="G46" i="1"/>
  <c r="G47" i="1"/>
  <c r="G43" i="1"/>
  <c r="F25" i="1"/>
  <c r="C49" i="1" l="1"/>
  <c r="C48" i="1"/>
  <c r="D44" i="1"/>
  <c r="D45" i="1"/>
  <c r="D46" i="1"/>
  <c r="D47" i="1"/>
  <c r="D43" i="1"/>
  <c r="C36" i="1"/>
  <c r="C33" i="1"/>
  <c r="C31" i="1"/>
  <c r="C27" i="1"/>
  <c r="C25" i="1"/>
  <c r="C63" i="1" l="1"/>
  <c r="D62" i="1"/>
  <c r="D57" i="1"/>
  <c r="D53" i="1"/>
  <c r="C53" i="1"/>
  <c r="C103" i="1"/>
  <c r="D99" i="1"/>
  <c r="C96" i="1"/>
  <c r="C91" i="1"/>
  <c r="C90" i="1"/>
  <c r="C89" i="1"/>
  <c r="D87" i="1"/>
  <c r="D84" i="1"/>
  <c r="D83" i="1"/>
  <c r="C83" i="1"/>
  <c r="D82" i="1"/>
  <c r="C82" i="1"/>
  <c r="C118" i="1"/>
  <c r="C124" i="1"/>
  <c r="E168" i="1"/>
  <c r="D168" i="1"/>
  <c r="E167" i="1"/>
  <c r="D167" i="1"/>
  <c r="C151" i="1"/>
  <c r="C62" i="1" l="1"/>
  <c r="C84" i="1"/>
  <c r="C57" i="1"/>
  <c r="C125" i="1"/>
  <c r="C167" i="1"/>
  <c r="C168" i="1"/>
  <c r="C99" i="1"/>
  <c r="C80" i="1"/>
  <c r="D80" i="1"/>
  <c r="C87" i="1"/>
  <c r="C86" i="1" l="1"/>
  <c r="C66" i="1"/>
  <c r="I86" i="1"/>
  <c r="I159" i="1" l="1"/>
  <c r="F159" i="1"/>
  <c r="C159" i="1"/>
  <c r="V159" i="1" l="1"/>
  <c r="L159" i="1"/>
  <c r="C123" i="1"/>
  <c r="U20" i="1" l="1"/>
  <c r="U19" i="1"/>
  <c r="R19" i="1"/>
  <c r="R18" i="1"/>
  <c r="O19" i="1"/>
  <c r="K19" i="1"/>
  <c r="H19" i="1"/>
  <c r="E19" i="1"/>
  <c r="T166" i="1"/>
  <c r="S166" i="1"/>
  <c r="Q166" i="1"/>
  <c r="P166" i="1"/>
  <c r="N166" i="1"/>
  <c r="M166" i="1"/>
  <c r="J166" i="1"/>
  <c r="I166" i="1"/>
  <c r="G166" i="1"/>
  <c r="F166" i="1"/>
  <c r="D166" i="1"/>
  <c r="C166" i="1"/>
  <c r="T165" i="1"/>
  <c r="S165" i="1"/>
  <c r="Q165" i="1"/>
  <c r="P165" i="1"/>
  <c r="N165" i="1"/>
  <c r="M165" i="1"/>
  <c r="J165" i="1"/>
  <c r="I165" i="1"/>
  <c r="G165" i="1"/>
  <c r="F165" i="1"/>
  <c r="D165" i="1"/>
  <c r="C165" i="1"/>
  <c r="V164" i="1"/>
  <c r="L164" i="1"/>
  <c r="V163" i="1"/>
  <c r="L163" i="1"/>
  <c r="V162" i="1"/>
  <c r="L162" i="1"/>
  <c r="V161" i="1"/>
  <c r="L161" i="1"/>
  <c r="I160" i="1"/>
  <c r="S160" i="1" s="1"/>
  <c r="F160" i="1"/>
  <c r="C160" i="1"/>
  <c r="V158" i="1"/>
  <c r="L158" i="1"/>
  <c r="V157" i="1"/>
  <c r="L157" i="1"/>
  <c r="V156" i="1"/>
  <c r="L156" i="1"/>
  <c r="V155" i="1"/>
  <c r="L155" i="1"/>
  <c r="V154" i="1"/>
  <c r="U150" i="1"/>
  <c r="R150" i="1"/>
  <c r="O150" i="1"/>
  <c r="K150" i="1"/>
  <c r="H150" i="1"/>
  <c r="E150" i="1"/>
  <c r="U149" i="1"/>
  <c r="R149" i="1"/>
  <c r="O149" i="1"/>
  <c r="K149" i="1"/>
  <c r="H149" i="1"/>
  <c r="E149" i="1"/>
  <c r="Q145" i="1"/>
  <c r="P145" i="1"/>
  <c r="N145" i="1"/>
  <c r="M145" i="1"/>
  <c r="J145" i="1"/>
  <c r="I145" i="1"/>
  <c r="G145" i="1"/>
  <c r="F145" i="1"/>
  <c r="D145" i="1"/>
  <c r="C145" i="1"/>
  <c r="U144" i="1"/>
  <c r="R144" i="1"/>
  <c r="O144" i="1"/>
  <c r="K144" i="1"/>
  <c r="H144" i="1"/>
  <c r="E144" i="1"/>
  <c r="U143" i="1"/>
  <c r="R143" i="1"/>
  <c r="O143" i="1"/>
  <c r="K143" i="1"/>
  <c r="H143" i="1"/>
  <c r="E143" i="1"/>
  <c r="U142" i="1"/>
  <c r="R142" i="1"/>
  <c r="O142" i="1"/>
  <c r="K142" i="1"/>
  <c r="H142" i="1"/>
  <c r="E142" i="1"/>
  <c r="U141" i="1"/>
  <c r="R141" i="1"/>
  <c r="O141" i="1"/>
  <c r="K141" i="1"/>
  <c r="H141" i="1"/>
  <c r="E141" i="1"/>
  <c r="U140" i="1"/>
  <c r="R140" i="1"/>
  <c r="O140" i="1"/>
  <c r="K140" i="1"/>
  <c r="H140" i="1"/>
  <c r="E140" i="1"/>
  <c r="U139" i="1"/>
  <c r="R139" i="1"/>
  <c r="O139" i="1"/>
  <c r="K139" i="1"/>
  <c r="H139" i="1"/>
  <c r="E139" i="1"/>
  <c r="U138" i="1"/>
  <c r="R138" i="1"/>
  <c r="O138" i="1"/>
  <c r="K138" i="1"/>
  <c r="H138" i="1"/>
  <c r="E138" i="1"/>
  <c r="U137" i="1"/>
  <c r="R137" i="1"/>
  <c r="O137" i="1"/>
  <c r="K137" i="1"/>
  <c r="H137" i="1"/>
  <c r="E137" i="1"/>
  <c r="U136" i="1"/>
  <c r="R136" i="1"/>
  <c r="O136" i="1"/>
  <c r="K136" i="1"/>
  <c r="H136" i="1"/>
  <c r="E136" i="1"/>
  <c r="U135" i="1"/>
  <c r="R135" i="1"/>
  <c r="O135" i="1"/>
  <c r="K135" i="1"/>
  <c r="H135" i="1"/>
  <c r="E135" i="1"/>
  <c r="U134" i="1"/>
  <c r="R134" i="1"/>
  <c r="O134" i="1"/>
  <c r="K134" i="1"/>
  <c r="H134" i="1"/>
  <c r="E134" i="1"/>
  <c r="U133" i="1"/>
  <c r="R133" i="1"/>
  <c r="O133" i="1"/>
  <c r="K133" i="1"/>
  <c r="H133" i="1"/>
  <c r="E133" i="1"/>
  <c r="U132" i="1"/>
  <c r="R132" i="1"/>
  <c r="O132" i="1"/>
  <c r="K132" i="1"/>
  <c r="H132" i="1"/>
  <c r="E132" i="1"/>
  <c r="U131" i="1"/>
  <c r="R131" i="1"/>
  <c r="O131" i="1"/>
  <c r="K131" i="1"/>
  <c r="H131" i="1"/>
  <c r="E131" i="1"/>
  <c r="T130" i="1"/>
  <c r="S130" i="1"/>
  <c r="Q130" i="1"/>
  <c r="P130" i="1"/>
  <c r="N130" i="1"/>
  <c r="M130" i="1"/>
  <c r="J130" i="1"/>
  <c r="I130" i="1"/>
  <c r="G130" i="1"/>
  <c r="F130" i="1"/>
  <c r="D130" i="1"/>
  <c r="C130" i="1"/>
  <c r="V129" i="1"/>
  <c r="M123" i="1"/>
  <c r="S115" i="1"/>
  <c r="S153" i="1" s="1"/>
  <c r="V153" i="1" s="1"/>
  <c r="P115" i="1"/>
  <c r="M115" i="1"/>
  <c r="I115" i="1"/>
  <c r="F115" i="1"/>
  <c r="C115" i="1"/>
  <c r="S110" i="1"/>
  <c r="V151" i="1" s="1"/>
  <c r="P110" i="1"/>
  <c r="M110" i="1"/>
  <c r="I110" i="1"/>
  <c r="F110" i="1"/>
  <c r="C110" i="1"/>
  <c r="U103" i="1"/>
  <c r="R103" i="1"/>
  <c r="O103" i="1"/>
  <c r="K103" i="1"/>
  <c r="H103" i="1"/>
  <c r="E103" i="1"/>
  <c r="U102" i="1"/>
  <c r="R102" i="1"/>
  <c r="O102" i="1"/>
  <c r="K102" i="1"/>
  <c r="H102" i="1"/>
  <c r="E102" i="1"/>
  <c r="U101" i="1"/>
  <c r="R101" i="1"/>
  <c r="O101" i="1"/>
  <c r="K101" i="1"/>
  <c r="H101" i="1"/>
  <c r="E101" i="1"/>
  <c r="U99" i="1"/>
  <c r="R99" i="1"/>
  <c r="O99" i="1"/>
  <c r="K99" i="1"/>
  <c r="H99" i="1"/>
  <c r="E99" i="1"/>
  <c r="U98" i="1"/>
  <c r="R98" i="1"/>
  <c r="O98" i="1"/>
  <c r="K98" i="1"/>
  <c r="H98" i="1"/>
  <c r="E98" i="1"/>
  <c r="U97" i="1"/>
  <c r="R97" i="1"/>
  <c r="O97" i="1"/>
  <c r="K97" i="1"/>
  <c r="H97" i="1"/>
  <c r="E97" i="1"/>
  <c r="U96" i="1"/>
  <c r="R96" i="1"/>
  <c r="O96" i="1"/>
  <c r="K96" i="1"/>
  <c r="H96" i="1"/>
  <c r="E96" i="1"/>
  <c r="U95" i="1"/>
  <c r="R95" i="1"/>
  <c r="O95" i="1"/>
  <c r="K95" i="1"/>
  <c r="H95" i="1"/>
  <c r="E95" i="1"/>
  <c r="U94" i="1"/>
  <c r="R94" i="1"/>
  <c r="O94" i="1"/>
  <c r="K94" i="1"/>
  <c r="H94" i="1"/>
  <c r="E94" i="1"/>
  <c r="U93" i="1"/>
  <c r="R93" i="1"/>
  <c r="O93" i="1"/>
  <c r="K93" i="1"/>
  <c r="H93" i="1"/>
  <c r="E93" i="1"/>
  <c r="U91" i="1"/>
  <c r="R91" i="1"/>
  <c r="O91" i="1"/>
  <c r="K91" i="1"/>
  <c r="H91" i="1"/>
  <c r="E91" i="1"/>
  <c r="U90" i="1"/>
  <c r="R90" i="1"/>
  <c r="O90" i="1"/>
  <c r="K90" i="1"/>
  <c r="H90" i="1"/>
  <c r="E90" i="1"/>
  <c r="U89" i="1"/>
  <c r="R89" i="1"/>
  <c r="O89" i="1"/>
  <c r="K89" i="1"/>
  <c r="H89" i="1"/>
  <c r="E89" i="1"/>
  <c r="U87" i="1"/>
  <c r="R87" i="1"/>
  <c r="O87" i="1"/>
  <c r="K87" i="1"/>
  <c r="H87" i="1"/>
  <c r="E87" i="1"/>
  <c r="T86" i="1"/>
  <c r="S86" i="1"/>
  <c r="Q86" i="1"/>
  <c r="P86" i="1"/>
  <c r="N86" i="1"/>
  <c r="M86" i="1"/>
  <c r="J86" i="1"/>
  <c r="G86" i="1"/>
  <c r="F86" i="1"/>
  <c r="D86" i="1"/>
  <c r="U85" i="1"/>
  <c r="R85" i="1"/>
  <c r="O85" i="1"/>
  <c r="K85" i="1"/>
  <c r="H85" i="1"/>
  <c r="E85" i="1"/>
  <c r="U84" i="1"/>
  <c r="R84" i="1"/>
  <c r="O84" i="1"/>
  <c r="K84" i="1"/>
  <c r="H84" i="1"/>
  <c r="E84" i="1"/>
  <c r="U83" i="1"/>
  <c r="R83" i="1"/>
  <c r="O83" i="1"/>
  <c r="K83" i="1"/>
  <c r="H83" i="1"/>
  <c r="E83" i="1"/>
  <c r="U82" i="1"/>
  <c r="R82" i="1"/>
  <c r="O82" i="1"/>
  <c r="K82" i="1"/>
  <c r="H82" i="1"/>
  <c r="E82" i="1"/>
  <c r="U80" i="1"/>
  <c r="R80" i="1"/>
  <c r="O80" i="1"/>
  <c r="K80" i="1"/>
  <c r="H80" i="1"/>
  <c r="E80" i="1"/>
  <c r="U79" i="1"/>
  <c r="R79" i="1"/>
  <c r="O79" i="1"/>
  <c r="K79" i="1"/>
  <c r="H79" i="1"/>
  <c r="E79" i="1"/>
  <c r="U78" i="1"/>
  <c r="R78" i="1"/>
  <c r="O78" i="1"/>
  <c r="K78" i="1"/>
  <c r="H78" i="1"/>
  <c r="E78" i="1"/>
  <c r="U77" i="1"/>
  <c r="R77" i="1"/>
  <c r="O77" i="1"/>
  <c r="K77" i="1"/>
  <c r="H77" i="1"/>
  <c r="E77" i="1"/>
  <c r="U76" i="1"/>
  <c r="R76" i="1"/>
  <c r="O76" i="1"/>
  <c r="K76" i="1"/>
  <c r="H76" i="1"/>
  <c r="E76" i="1"/>
  <c r="U74" i="1"/>
  <c r="R74" i="1"/>
  <c r="O74" i="1"/>
  <c r="K74" i="1"/>
  <c r="H74" i="1"/>
  <c r="E74" i="1"/>
  <c r="U73" i="1"/>
  <c r="R73" i="1"/>
  <c r="O73" i="1"/>
  <c r="K73" i="1"/>
  <c r="H73" i="1"/>
  <c r="E73" i="1"/>
  <c r="U72" i="1"/>
  <c r="R72" i="1"/>
  <c r="O72" i="1"/>
  <c r="K72" i="1"/>
  <c r="H72" i="1"/>
  <c r="E72" i="1"/>
  <c r="U71" i="1"/>
  <c r="R71" i="1"/>
  <c r="O71" i="1"/>
  <c r="K71" i="1"/>
  <c r="H71" i="1"/>
  <c r="E71" i="1"/>
  <c r="U70" i="1"/>
  <c r="R70" i="1"/>
  <c r="O70" i="1"/>
  <c r="K70" i="1"/>
  <c r="H70" i="1"/>
  <c r="E70" i="1"/>
  <c r="U69" i="1"/>
  <c r="R69" i="1"/>
  <c r="O69" i="1"/>
  <c r="K69" i="1"/>
  <c r="H69" i="1"/>
  <c r="E69" i="1"/>
  <c r="U67" i="1"/>
  <c r="R67" i="1"/>
  <c r="O67" i="1"/>
  <c r="K67" i="1"/>
  <c r="H67" i="1"/>
  <c r="E67" i="1"/>
  <c r="T66" i="1"/>
  <c r="S66" i="1"/>
  <c r="Q66" i="1"/>
  <c r="P66" i="1"/>
  <c r="N66" i="1"/>
  <c r="M66" i="1"/>
  <c r="J66" i="1"/>
  <c r="I66" i="1"/>
  <c r="G66" i="1"/>
  <c r="F66" i="1"/>
  <c r="D66" i="1"/>
  <c r="U65" i="1"/>
  <c r="R65" i="1"/>
  <c r="O65" i="1"/>
  <c r="K65" i="1"/>
  <c r="H65" i="1"/>
  <c r="E65" i="1"/>
  <c r="U64" i="1"/>
  <c r="R64" i="1"/>
  <c r="O64" i="1"/>
  <c r="K64" i="1"/>
  <c r="H64" i="1"/>
  <c r="E64" i="1"/>
  <c r="U63" i="1"/>
  <c r="R63" i="1"/>
  <c r="O63" i="1"/>
  <c r="K63" i="1"/>
  <c r="H63" i="1"/>
  <c r="E63" i="1"/>
  <c r="U62" i="1"/>
  <c r="R62" i="1"/>
  <c r="O62" i="1"/>
  <c r="K62" i="1"/>
  <c r="H62" i="1"/>
  <c r="E62" i="1"/>
  <c r="U61" i="1"/>
  <c r="R61" i="1"/>
  <c r="O61" i="1"/>
  <c r="K61" i="1"/>
  <c r="H61" i="1"/>
  <c r="E61" i="1"/>
  <c r="U60" i="1"/>
  <c r="R60" i="1"/>
  <c r="O60" i="1"/>
  <c r="K60" i="1"/>
  <c r="H60" i="1"/>
  <c r="E60" i="1"/>
  <c r="U59" i="1"/>
  <c r="R59" i="1"/>
  <c r="O59" i="1"/>
  <c r="K59" i="1"/>
  <c r="H59" i="1"/>
  <c r="E59" i="1"/>
  <c r="U57" i="1"/>
  <c r="R57" i="1"/>
  <c r="O57" i="1"/>
  <c r="K57" i="1"/>
  <c r="H57" i="1"/>
  <c r="E57" i="1"/>
  <c r="U56" i="1"/>
  <c r="R56" i="1"/>
  <c r="O56" i="1"/>
  <c r="K56" i="1"/>
  <c r="H56" i="1"/>
  <c r="E56" i="1"/>
  <c r="U55" i="1"/>
  <c r="R55" i="1"/>
  <c r="O55" i="1"/>
  <c r="K55" i="1"/>
  <c r="H55" i="1"/>
  <c r="E55" i="1"/>
  <c r="U53" i="1"/>
  <c r="R53" i="1"/>
  <c r="O53" i="1"/>
  <c r="K53" i="1"/>
  <c r="H53" i="1"/>
  <c r="E53" i="1"/>
  <c r="T52" i="1"/>
  <c r="S52" i="1"/>
  <c r="Q52" i="1"/>
  <c r="P52" i="1"/>
  <c r="N52" i="1"/>
  <c r="M52" i="1"/>
  <c r="J52" i="1"/>
  <c r="I52" i="1"/>
  <c r="I51" i="1" s="1"/>
  <c r="I104" i="1" s="1"/>
  <c r="G52" i="1"/>
  <c r="F52" i="1"/>
  <c r="D52" i="1"/>
  <c r="C52" i="1"/>
  <c r="C51" i="1" s="1"/>
  <c r="C104" i="1" s="1"/>
  <c r="U49" i="1"/>
  <c r="R49" i="1"/>
  <c r="O49" i="1"/>
  <c r="K49" i="1"/>
  <c r="H49" i="1"/>
  <c r="E49" i="1"/>
  <c r="U48" i="1"/>
  <c r="R48" i="1"/>
  <c r="O48" i="1"/>
  <c r="K48" i="1"/>
  <c r="H48" i="1"/>
  <c r="E48" i="1"/>
  <c r="U47" i="1"/>
  <c r="R47" i="1"/>
  <c r="O47" i="1"/>
  <c r="K47" i="1"/>
  <c r="H47" i="1"/>
  <c r="E47" i="1"/>
  <c r="U46" i="1"/>
  <c r="R46" i="1"/>
  <c r="O46" i="1"/>
  <c r="K46" i="1"/>
  <c r="H46" i="1"/>
  <c r="E46" i="1"/>
  <c r="U45" i="1"/>
  <c r="R45" i="1"/>
  <c r="O45" i="1"/>
  <c r="K45" i="1"/>
  <c r="H45" i="1"/>
  <c r="E45" i="1"/>
  <c r="U44" i="1"/>
  <c r="R44" i="1"/>
  <c r="O44" i="1"/>
  <c r="K44" i="1"/>
  <c r="H44" i="1"/>
  <c r="E44" i="1"/>
  <c r="U43" i="1"/>
  <c r="R43" i="1"/>
  <c r="O43" i="1"/>
  <c r="K43" i="1"/>
  <c r="H43" i="1"/>
  <c r="E43" i="1"/>
  <c r="U42" i="1"/>
  <c r="R42" i="1"/>
  <c r="O42" i="1"/>
  <c r="K42" i="1"/>
  <c r="H42" i="1"/>
  <c r="E42" i="1"/>
  <c r="U41" i="1"/>
  <c r="R41" i="1"/>
  <c r="O41" i="1"/>
  <c r="K41" i="1"/>
  <c r="H41" i="1"/>
  <c r="E41" i="1"/>
  <c r="U40" i="1"/>
  <c r="R40" i="1"/>
  <c r="O40" i="1"/>
  <c r="K40" i="1"/>
  <c r="H40" i="1"/>
  <c r="E40" i="1"/>
  <c r="S39" i="1"/>
  <c r="U39" i="1" s="1"/>
  <c r="R39" i="1"/>
  <c r="O39" i="1"/>
  <c r="K39" i="1"/>
  <c r="F39" i="1"/>
  <c r="H39" i="1" s="1"/>
  <c r="C39" i="1"/>
  <c r="E39" i="1" s="1"/>
  <c r="T38" i="1"/>
  <c r="T37" i="1" s="1"/>
  <c r="Q38" i="1"/>
  <c r="Q37" i="1" s="1"/>
  <c r="N38" i="1"/>
  <c r="N37" i="1" s="1"/>
  <c r="J38" i="1"/>
  <c r="J37" i="1" s="1"/>
  <c r="G38" i="1"/>
  <c r="G37" i="1" s="1"/>
  <c r="D38" i="1"/>
  <c r="D37" i="1" s="1"/>
  <c r="U36" i="1"/>
  <c r="R36" i="1"/>
  <c r="O36" i="1"/>
  <c r="K36" i="1"/>
  <c r="H36" i="1"/>
  <c r="E36" i="1"/>
  <c r="U35" i="1"/>
  <c r="R35" i="1"/>
  <c r="O35" i="1"/>
  <c r="K35" i="1"/>
  <c r="H35" i="1"/>
  <c r="E35" i="1"/>
  <c r="U33" i="1"/>
  <c r="R33" i="1"/>
  <c r="O33" i="1"/>
  <c r="K33" i="1"/>
  <c r="H33" i="1"/>
  <c r="E33" i="1"/>
  <c r="U32" i="1"/>
  <c r="R32" i="1"/>
  <c r="O32" i="1"/>
  <c r="K32" i="1"/>
  <c r="H32" i="1"/>
  <c r="E32" i="1"/>
  <c r="U31" i="1"/>
  <c r="R31" i="1"/>
  <c r="O31" i="1"/>
  <c r="K31" i="1"/>
  <c r="H31" i="1"/>
  <c r="E31" i="1"/>
  <c r="U30" i="1"/>
  <c r="R30" i="1"/>
  <c r="O30" i="1"/>
  <c r="K30" i="1"/>
  <c r="H30" i="1"/>
  <c r="E30" i="1"/>
  <c r="U29" i="1"/>
  <c r="R29" i="1"/>
  <c r="O29" i="1"/>
  <c r="K29" i="1"/>
  <c r="H29" i="1"/>
  <c r="E29" i="1"/>
  <c r="U28" i="1"/>
  <c r="R28" i="1"/>
  <c r="O28" i="1"/>
  <c r="K28" i="1"/>
  <c r="H28" i="1"/>
  <c r="E28" i="1"/>
  <c r="U27" i="1"/>
  <c r="R27" i="1"/>
  <c r="O27" i="1"/>
  <c r="K27" i="1"/>
  <c r="H27" i="1"/>
  <c r="E27" i="1"/>
  <c r="U26" i="1"/>
  <c r="R26" i="1"/>
  <c r="O26" i="1"/>
  <c r="K26" i="1"/>
  <c r="H26" i="1"/>
  <c r="E26" i="1"/>
  <c r="U25" i="1"/>
  <c r="R25" i="1"/>
  <c r="O25" i="1"/>
  <c r="K25" i="1"/>
  <c r="H25" i="1"/>
  <c r="E25" i="1"/>
  <c r="U24" i="1"/>
  <c r="R24" i="1"/>
  <c r="O24" i="1"/>
  <c r="K24" i="1"/>
  <c r="H24" i="1"/>
  <c r="E24" i="1"/>
  <c r="U23" i="1"/>
  <c r="R23" i="1"/>
  <c r="O23" i="1"/>
  <c r="K23" i="1"/>
  <c r="H23" i="1"/>
  <c r="E23" i="1"/>
  <c r="T21" i="1"/>
  <c r="T7" i="1" s="1"/>
  <c r="S21" i="1"/>
  <c r="Q21" i="1"/>
  <c r="Q7" i="1" s="1"/>
  <c r="P21" i="1"/>
  <c r="N21" i="1"/>
  <c r="N7" i="1" s="1"/>
  <c r="M21" i="1"/>
  <c r="J21" i="1"/>
  <c r="J7" i="1" s="1"/>
  <c r="I21" i="1"/>
  <c r="G21" i="1"/>
  <c r="G7" i="1" s="1"/>
  <c r="F21" i="1"/>
  <c r="D21" i="1"/>
  <c r="D7" i="1" s="1"/>
  <c r="C21" i="1"/>
  <c r="R20" i="1"/>
  <c r="O20" i="1"/>
  <c r="K20" i="1"/>
  <c r="H20" i="1"/>
  <c r="E20" i="1"/>
  <c r="U18" i="1"/>
  <c r="O18" i="1"/>
  <c r="K18" i="1"/>
  <c r="H18" i="1"/>
  <c r="E18" i="1"/>
  <c r="U17" i="1"/>
  <c r="R17" i="1"/>
  <c r="O17" i="1"/>
  <c r="K17" i="1"/>
  <c r="H17" i="1"/>
  <c r="E17" i="1"/>
  <c r="U16" i="1"/>
  <c r="R16" i="1"/>
  <c r="O16" i="1"/>
  <c r="K16" i="1"/>
  <c r="H16" i="1"/>
  <c r="E16" i="1"/>
  <c r="U15" i="1"/>
  <c r="R15" i="1"/>
  <c r="O15" i="1"/>
  <c r="K15" i="1"/>
  <c r="H15" i="1"/>
  <c r="E15" i="1"/>
  <c r="U14" i="1"/>
  <c r="R14" i="1"/>
  <c r="O14" i="1"/>
  <c r="K14" i="1"/>
  <c r="H14" i="1"/>
  <c r="E14" i="1"/>
  <c r="U13" i="1"/>
  <c r="R13" i="1"/>
  <c r="O13" i="1"/>
  <c r="K13" i="1"/>
  <c r="H13" i="1"/>
  <c r="E13" i="1"/>
  <c r="T12" i="1"/>
  <c r="S8" i="1"/>
  <c r="U8" i="1" s="1"/>
  <c r="Q12" i="1"/>
  <c r="P12" i="1"/>
  <c r="P8" i="1" s="1"/>
  <c r="N12" i="1"/>
  <c r="M12" i="1"/>
  <c r="M8" i="1" s="1"/>
  <c r="O8" i="1" s="1"/>
  <c r="J12" i="1"/>
  <c r="I12" i="1"/>
  <c r="G12" i="1"/>
  <c r="F12" i="1"/>
  <c r="D12" i="1"/>
  <c r="C12" i="1"/>
  <c r="U11" i="1"/>
  <c r="R11" i="1"/>
  <c r="O11" i="1"/>
  <c r="K11" i="1"/>
  <c r="H11" i="1"/>
  <c r="E11" i="1"/>
  <c r="U10" i="1"/>
  <c r="R10" i="1"/>
  <c r="O10" i="1"/>
  <c r="K10" i="1"/>
  <c r="H10" i="1"/>
  <c r="E10" i="1"/>
  <c r="P151" i="1" l="1"/>
  <c r="M151" i="1"/>
  <c r="V152" i="1"/>
  <c r="D51" i="1"/>
  <c r="D104" i="1" s="1"/>
  <c r="D146" i="1" s="1"/>
  <c r="E12" i="1"/>
  <c r="K12" i="1"/>
  <c r="M51" i="1"/>
  <c r="M104" i="1" s="1"/>
  <c r="M146" i="1" s="1"/>
  <c r="S51" i="1"/>
  <c r="S104" i="1" s="1"/>
  <c r="O145" i="1"/>
  <c r="F51" i="1"/>
  <c r="F104" i="1" s="1"/>
  <c r="R145" i="1"/>
  <c r="G51" i="1"/>
  <c r="G104" i="1" s="1"/>
  <c r="G146" i="1" s="1"/>
  <c r="N51" i="1"/>
  <c r="N104" i="1" s="1"/>
  <c r="N146" i="1" s="1"/>
  <c r="T51" i="1"/>
  <c r="T104" i="1" s="1"/>
  <c r="T146" i="1" s="1"/>
  <c r="P51" i="1"/>
  <c r="P104" i="1" s="1"/>
  <c r="P146" i="1" s="1"/>
  <c r="E166" i="1"/>
  <c r="V18" i="1"/>
  <c r="R166" i="1"/>
  <c r="V42" i="1"/>
  <c r="R165" i="1"/>
  <c r="Q51" i="1"/>
  <c r="Q104" i="1" s="1"/>
  <c r="Q146" i="1" s="1"/>
  <c r="K165" i="1"/>
  <c r="K166" i="1"/>
  <c r="J51" i="1"/>
  <c r="J104" i="1" s="1"/>
  <c r="J146" i="1" s="1"/>
  <c r="N6" i="1"/>
  <c r="N50" i="1" s="1"/>
  <c r="U165" i="1"/>
  <c r="U166" i="1"/>
  <c r="V140" i="1"/>
  <c r="G6" i="1"/>
  <c r="G50" i="1" s="1"/>
  <c r="T6" i="1"/>
  <c r="T50" i="1" s="1"/>
  <c r="O165" i="1"/>
  <c r="O166" i="1"/>
  <c r="J6" i="1"/>
  <c r="J50" i="1" s="1"/>
  <c r="I38" i="1"/>
  <c r="K38" i="1" s="1"/>
  <c r="H165" i="1"/>
  <c r="H166" i="1"/>
  <c r="F38" i="1"/>
  <c r="D6" i="1"/>
  <c r="D50" i="1" s="1"/>
  <c r="V43" i="1"/>
  <c r="V46" i="1"/>
  <c r="V44" i="1"/>
  <c r="C38" i="1"/>
  <c r="E38" i="1" s="1"/>
  <c r="V40" i="1"/>
  <c r="C8" i="1"/>
  <c r="E8" i="1" s="1"/>
  <c r="V8" i="1" s="1"/>
  <c r="E165" i="1"/>
  <c r="R12" i="1"/>
  <c r="L14" i="1"/>
  <c r="H21" i="1"/>
  <c r="U21" i="1"/>
  <c r="Q6" i="1"/>
  <c r="Q50" i="1" s="1"/>
  <c r="V47" i="1"/>
  <c r="V48" i="1"/>
  <c r="E21" i="1"/>
  <c r="K21" i="1"/>
  <c r="R21" i="1"/>
  <c r="L40" i="1"/>
  <c r="L48" i="1"/>
  <c r="L140" i="1"/>
  <c r="L142" i="1"/>
  <c r="V141" i="1"/>
  <c r="V142" i="1"/>
  <c r="V132" i="1"/>
  <c r="V133" i="1"/>
  <c r="V134" i="1"/>
  <c r="V135" i="1"/>
  <c r="V136" i="1"/>
  <c r="V137" i="1"/>
  <c r="V138" i="1"/>
  <c r="L42" i="1"/>
  <c r="L44" i="1"/>
  <c r="L45" i="1"/>
  <c r="L46" i="1"/>
  <c r="V10" i="1"/>
  <c r="V13" i="1"/>
  <c r="V14" i="1"/>
  <c r="V15" i="1"/>
  <c r="V16" i="1"/>
  <c r="V17" i="1"/>
  <c r="V20" i="1"/>
  <c r="L20" i="1"/>
  <c r="L24" i="1"/>
  <c r="L26" i="1"/>
  <c r="L29" i="1"/>
  <c r="L30" i="1"/>
  <c r="L31" i="1"/>
  <c r="L32" i="1"/>
  <c r="L33" i="1"/>
  <c r="L35" i="1"/>
  <c r="L36" i="1"/>
  <c r="H130" i="1"/>
  <c r="O130" i="1"/>
  <c r="U130" i="1"/>
  <c r="V143" i="1"/>
  <c r="V144" i="1"/>
  <c r="L41" i="1"/>
  <c r="L141" i="1"/>
  <c r="L13" i="1"/>
  <c r="L17" i="1"/>
  <c r="L18" i="1"/>
  <c r="H145" i="1"/>
  <c r="U145" i="1"/>
  <c r="V19" i="1"/>
  <c r="L49" i="1"/>
  <c r="L10" i="1"/>
  <c r="L15" i="1"/>
  <c r="L16" i="1"/>
  <c r="L43" i="1"/>
  <c r="L47" i="1"/>
  <c r="S7" i="1"/>
  <c r="U7" i="1" s="1"/>
  <c r="I8" i="1"/>
  <c r="O21" i="1"/>
  <c r="M7" i="1"/>
  <c r="O7" i="1" s="1"/>
  <c r="P38" i="1"/>
  <c r="P37" i="1" s="1"/>
  <c r="R37" i="1" s="1"/>
  <c r="V41" i="1"/>
  <c r="V45" i="1"/>
  <c r="V49" i="1"/>
  <c r="H12" i="1"/>
  <c r="O12" i="1"/>
  <c r="U12" i="1"/>
  <c r="V23" i="1"/>
  <c r="V24" i="1"/>
  <c r="V26" i="1"/>
  <c r="V29" i="1"/>
  <c r="V30" i="1"/>
  <c r="V31" i="1"/>
  <c r="V32" i="1"/>
  <c r="V33" i="1"/>
  <c r="V35" i="1"/>
  <c r="V36" i="1"/>
  <c r="V53" i="1"/>
  <c r="V56" i="1"/>
  <c r="V57" i="1"/>
  <c r="V60" i="1"/>
  <c r="V61" i="1"/>
  <c r="V62" i="1"/>
  <c r="V63" i="1"/>
  <c r="V64" i="1"/>
  <c r="V65" i="1"/>
  <c r="V67" i="1"/>
  <c r="V69" i="1"/>
  <c r="V70" i="1"/>
  <c r="V71" i="1"/>
  <c r="V72" i="1"/>
  <c r="V73" i="1"/>
  <c r="V74" i="1"/>
  <c r="V76" i="1"/>
  <c r="V77" i="1"/>
  <c r="V78" i="1"/>
  <c r="V79" i="1"/>
  <c r="V80" i="1"/>
  <c r="V82" i="1"/>
  <c r="V83" i="1"/>
  <c r="V84" i="1"/>
  <c r="V85" i="1"/>
  <c r="V87" i="1"/>
  <c r="V89" i="1"/>
  <c r="V90" i="1"/>
  <c r="V94" i="1"/>
  <c r="V95" i="1"/>
  <c r="V96" i="1"/>
  <c r="V97" i="1"/>
  <c r="V98" i="1"/>
  <c r="V99" i="1"/>
  <c r="V101" i="1"/>
  <c r="V102" i="1"/>
  <c r="V103" i="1"/>
  <c r="E130" i="1"/>
  <c r="K130" i="1"/>
  <c r="R130" i="1"/>
  <c r="E145" i="1"/>
  <c r="K145" i="1"/>
  <c r="L132" i="1"/>
  <c r="L133" i="1"/>
  <c r="L134" i="1"/>
  <c r="L135" i="1"/>
  <c r="L136" i="1"/>
  <c r="L137" i="1"/>
  <c r="L138" i="1"/>
  <c r="V139" i="1"/>
  <c r="L139" i="1"/>
  <c r="L23" i="1"/>
  <c r="L39" i="1"/>
  <c r="F8" i="1"/>
  <c r="E52" i="1"/>
  <c r="V39" i="1"/>
  <c r="L149" i="1"/>
  <c r="L150" i="1"/>
  <c r="L160" i="1"/>
  <c r="V160" i="1"/>
  <c r="H52" i="1"/>
  <c r="K52" i="1"/>
  <c r="O52" i="1"/>
  <c r="R52" i="1"/>
  <c r="U52" i="1"/>
  <c r="L53" i="1"/>
  <c r="L56" i="1"/>
  <c r="L57" i="1"/>
  <c r="L60" i="1"/>
  <c r="L61" i="1"/>
  <c r="L62" i="1"/>
  <c r="L63" i="1"/>
  <c r="L64" i="1"/>
  <c r="L65" i="1"/>
  <c r="E66" i="1"/>
  <c r="H66" i="1"/>
  <c r="K66" i="1"/>
  <c r="O66" i="1"/>
  <c r="R66" i="1"/>
  <c r="U66" i="1"/>
  <c r="L67" i="1"/>
  <c r="L69" i="1"/>
  <c r="L70" i="1"/>
  <c r="L71" i="1"/>
  <c r="L72" i="1"/>
  <c r="L73" i="1"/>
  <c r="L74" i="1"/>
  <c r="L76" i="1"/>
  <c r="L77" i="1"/>
  <c r="L78" i="1"/>
  <c r="L79" i="1"/>
  <c r="L80" i="1"/>
  <c r="L82" i="1"/>
  <c r="L83" i="1"/>
  <c r="L84" i="1"/>
  <c r="L85" i="1"/>
  <c r="E86" i="1"/>
  <c r="H86" i="1"/>
  <c r="K86" i="1"/>
  <c r="O86" i="1"/>
  <c r="R86" i="1"/>
  <c r="U86" i="1"/>
  <c r="L87" i="1"/>
  <c r="L89" i="1"/>
  <c r="L90" i="1"/>
  <c r="L91" i="1"/>
  <c r="L96" i="1"/>
  <c r="L97" i="1"/>
  <c r="L98" i="1"/>
  <c r="L99" i="1"/>
  <c r="L101" i="1"/>
  <c r="L102" i="1"/>
  <c r="L103" i="1"/>
  <c r="L131" i="1"/>
  <c r="V131" i="1"/>
  <c r="V149" i="1"/>
  <c r="V150" i="1"/>
  <c r="L19" i="1"/>
  <c r="L12" i="1"/>
  <c r="C146" i="1"/>
  <c r="E104" i="1"/>
  <c r="E51" i="1"/>
  <c r="I146" i="1"/>
  <c r="M38" i="1"/>
  <c r="S38" i="1"/>
  <c r="F146" i="1"/>
  <c r="L55" i="1"/>
  <c r="V55" i="1"/>
  <c r="L59" i="1"/>
  <c r="V59" i="1"/>
  <c r="L94" i="1"/>
  <c r="L95" i="1"/>
  <c r="V91" i="1"/>
  <c r="L143" i="1"/>
  <c r="L144" i="1"/>
  <c r="L66" i="1" l="1"/>
  <c r="D105" i="1"/>
  <c r="H104" i="1"/>
  <c r="H146" i="1" s="1"/>
  <c r="G105" i="1"/>
  <c r="H51" i="1"/>
  <c r="V12" i="1"/>
  <c r="V166" i="1"/>
  <c r="V21" i="1"/>
  <c r="U104" i="1"/>
  <c r="V104" i="1" s="1"/>
  <c r="O104" i="1"/>
  <c r="O146" i="1" s="1"/>
  <c r="S146" i="1"/>
  <c r="U51" i="1"/>
  <c r="V51" i="1" s="1"/>
  <c r="I37" i="1"/>
  <c r="K37" i="1" s="1"/>
  <c r="L38" i="1"/>
  <c r="T105" i="1"/>
  <c r="S124" i="1" s="1"/>
  <c r="O51" i="1"/>
  <c r="N105" i="1"/>
  <c r="L166" i="1"/>
  <c r="V130" i="1"/>
  <c r="L165" i="1"/>
  <c r="K51" i="1"/>
  <c r="L51" i="1" s="1"/>
  <c r="K104" i="1"/>
  <c r="K146" i="1" s="1"/>
  <c r="R104" i="1"/>
  <c r="R146" i="1" s="1"/>
  <c r="R51" i="1"/>
  <c r="V165" i="1"/>
  <c r="L145" i="1"/>
  <c r="Q105" i="1"/>
  <c r="J105" i="1"/>
  <c r="L52" i="1"/>
  <c r="L21" i="1"/>
  <c r="R38" i="1"/>
  <c r="H38" i="1"/>
  <c r="F37" i="1"/>
  <c r="H37" i="1" s="1"/>
  <c r="C37" i="1"/>
  <c r="E37" i="1" s="1"/>
  <c r="C7" i="1"/>
  <c r="L86" i="1"/>
  <c r="V52" i="1"/>
  <c r="L130" i="1"/>
  <c r="E146" i="1"/>
  <c r="V145" i="1"/>
  <c r="V86" i="1"/>
  <c r="V66" i="1"/>
  <c r="K8" i="1"/>
  <c r="L8" i="1" s="1"/>
  <c r="I7" i="1"/>
  <c r="R8" i="1"/>
  <c r="P7" i="1"/>
  <c r="H8" i="1"/>
  <c r="F7" i="1"/>
  <c r="U38" i="1"/>
  <c r="V38" i="1" s="1"/>
  <c r="S37" i="1"/>
  <c r="O38" i="1"/>
  <c r="M37" i="1"/>
  <c r="U146" i="1" l="1"/>
  <c r="L37" i="1"/>
  <c r="L104" i="1"/>
  <c r="E7" i="1"/>
  <c r="V7" i="1" s="1"/>
  <c r="C6" i="1"/>
  <c r="K7" i="1"/>
  <c r="I6" i="1"/>
  <c r="R7" i="1"/>
  <c r="P6" i="1"/>
  <c r="H7" i="1"/>
  <c r="F6" i="1"/>
  <c r="U37" i="1"/>
  <c r="V37" i="1" s="1"/>
  <c r="S6" i="1"/>
  <c r="O37" i="1"/>
  <c r="M6" i="1"/>
  <c r="L7" i="1" l="1"/>
  <c r="C50" i="1"/>
  <c r="E6" i="1"/>
  <c r="E50" i="1" s="1"/>
  <c r="E105" i="1" s="1"/>
  <c r="I50" i="1"/>
  <c r="K6" i="1"/>
  <c r="F50" i="1"/>
  <c r="H6" i="1"/>
  <c r="H50" i="1" s="1"/>
  <c r="H105" i="1" s="1"/>
  <c r="P50" i="1"/>
  <c r="R6" i="1"/>
  <c r="R50" i="1" s="1"/>
  <c r="M50" i="1"/>
  <c r="O6" i="1"/>
  <c r="O50" i="1" s="1"/>
  <c r="S50" i="1"/>
  <c r="U6" i="1"/>
  <c r="C105" i="1" l="1"/>
  <c r="C109" i="1"/>
  <c r="C107" i="1" s="1"/>
  <c r="L6" i="1"/>
  <c r="K50" i="1"/>
  <c r="I105" i="1"/>
  <c r="I109" i="1"/>
  <c r="I107" i="1" s="1"/>
  <c r="P105" i="1"/>
  <c r="P109" i="1"/>
  <c r="P107" i="1" s="1"/>
  <c r="F105" i="1"/>
  <c r="F109" i="1"/>
  <c r="F107" i="1" s="1"/>
  <c r="S105" i="1"/>
  <c r="U105" i="1" s="1"/>
  <c r="S109" i="1"/>
  <c r="S107" i="1" s="1"/>
  <c r="U50" i="1"/>
  <c r="V50" i="1" s="1"/>
  <c r="V6" i="1"/>
  <c r="M105" i="1"/>
  <c r="O105" i="1" s="1"/>
  <c r="M109" i="1"/>
  <c r="M107" i="1" s="1"/>
  <c r="R105" i="1" l="1"/>
  <c r="S123" i="1"/>
  <c r="L50" i="1"/>
  <c r="K105" i="1"/>
</calcChain>
</file>

<file path=xl/comments1.xml><?xml version="1.0" encoding="utf-8"?>
<comments xmlns="http://schemas.openxmlformats.org/spreadsheetml/2006/main">
  <authors>
    <author>Пикина Надежда Анатольевна</author>
  </authors>
  <commentList>
    <comment ref="F155" authorId="0">
      <text>
        <r>
          <rPr>
            <b/>
            <sz val="9"/>
            <color indexed="81"/>
            <rFont val="Tahoma"/>
            <family val="2"/>
            <charset val="204"/>
          </rPr>
          <t>Пикина Надежда Анатольевна: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<sst xmlns="http://schemas.openxmlformats.org/spreadsheetml/2006/main" count="733" uniqueCount="226">
  <si>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</si>
  <si>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</si>
  <si>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</si>
  <si>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</si>
  <si>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</si>
  <si>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</si>
  <si>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</si>
  <si>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</si>
  <si>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</si>
  <si>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</si>
  <si>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</si>
  <si>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</si>
  <si>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</si>
  <si>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</si>
  <si>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</si>
  <si>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</si>
  <si>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</si>
  <si>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</si>
  <si>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</si>
  <si>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</si>
  <si>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</si>
  <si>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</si>
  <si>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</si>
  <si>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</si>
  <si>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</si>
  <si>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</si>
  <si>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</si>
  <si>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</si>
  <si>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</si>
  <si>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</si>
  <si>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</si>
  <si>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</si>
  <si>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</si>
  <si>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</si>
  <si>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</si>
  <si>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</si>
  <si>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</si>
  <si>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</si>
  <si>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</si>
  <si>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</si>
  <si>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</si>
  <si>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</si>
  <si>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</si>
  <si>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</si>
  <si>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</si>
  <si>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</si>
  <si>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</si>
  <si>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</si>
  <si>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</si>
  <si>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</si>
  <si>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</si>
  <si>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</si>
  <si>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</si>
  <si>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</si>
  <si>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</si>
  <si>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</si>
  <si>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</si>
  <si>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</si>
  <si>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</si>
  <si>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</si>
  <si>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</si>
  <si>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</si>
  <si>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</si>
  <si>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</si>
  <si>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</si>
  <si>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</si>
  <si>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</si>
  <si>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</si>
  <si>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</si>
  <si>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</si>
  <si>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</si>
  <si>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</si>
  <si>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</si>
  <si>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</si>
  <si>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</si>
  <si>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</si>
  <si>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</si>
  <si>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</si>
  <si>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</si>
  <si>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</si>
  <si>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</si>
  <si>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</si>
  <si>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</si>
  <si>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</si>
  <si>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</si>
  <si>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</si>
  <si>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</si>
  <si>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</si>
  <si>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</si>
  <si>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</si>
  <si>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</si>
  <si>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</si>
  <si>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</si>
  <si>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</si>
  <si>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</si>
  <si>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</si>
  <si>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</si>
  <si>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</si>
  <si>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</si>
  <si>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</si>
  <si>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</si>
  <si>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</si>
  <si>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</si>
  <si>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</si>
  <si>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</si>
  <si>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</si>
  <si>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</si>
  <si>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</si>
  <si>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</si>
  <si>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</si>
  <si>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</si>
  <si>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</si>
  <si>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</si>
  <si>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</si>
  <si>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</si>
  <si>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</si>
  <si>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</si>
  <si>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</si>
  <si>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</si>
  <si>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</si>
  <si>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</si>
  <si>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</si>
  <si>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</si>
  <si>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</si>
  <si>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</si>
  <si>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</si>
  <si>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</si>
  <si>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</si>
  <si>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</si>
  <si>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</si>
  <si>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</si>
  <si>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</si>
  <si>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</si>
  <si>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</si>
  <si>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</si>
  <si>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</si>
  <si>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</si>
  <si>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</si>
  <si>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</si>
  <si>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</si>
  <si>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</si>
  <si>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</si>
  <si>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</si>
  <si>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</si>
  <si>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</si>
  <si>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</si>
  <si>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</si>
  <si>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</si>
  <si>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</si>
  <si>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</si>
  <si>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</si>
  <si>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</si>
  <si>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</si>
  <si>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</si>
  <si>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</si>
  <si>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</si>
  <si>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</si>
  <si>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</si>
  <si>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</si>
  <si>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</si>
  <si>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</si>
  <si>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</si>
  <si>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</si>
  <si>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</si>
  <si>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</si>
  <si>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</si>
  <si>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</si>
  <si>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</si>
  <si>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</si>
  <si>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</si>
  <si>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</si>
  <si>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</si>
  <si>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</si>
  <si>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</si>
  <si>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</si>
  <si>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</si>
  <si>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</si>
  <si>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</si>
  <si>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</si>
  <si>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</si>
  <si>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</si>
  <si>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</si>
  <si>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</si>
  <si>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</si>
  <si>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</si>
  <si>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</si>
  <si>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</si>
  <si>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</si>
  <si>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</si>
  <si>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</si>
  <si>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</si>
  <si>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</si>
  <si>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</si>
  <si>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</si>
  <si>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</si>
  <si>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</si>
  <si>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</si>
  <si>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</si>
  <si>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</si>
  <si>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</si>
  <si>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</si>
  <si>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</si>
  <si>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</si>
  <si>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</si>
  <si>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</si>
  <si>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</si>
  <si>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</si>
  <si>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</si>
  <si>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</si>
  <si>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</si>
  <si>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2023 год</t>
  </si>
  <si>
    <t>- за счет привлечения остатков средств бюджетных и автономных учреждений</t>
  </si>
  <si>
    <t>2022 год (отчетный год)</t>
  </si>
  <si>
    <t>Темп роста к исполнению  2022 г. без ЦС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</si>
  <si>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</si>
  <si>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</si>
  <si>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</si>
  <si>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</si>
  <si>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</si>
  <si>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</si>
  <si>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Исполнитель заместитель начальника финансового управления   __________ Н.А.Пикина , (8815-54)-50270</t>
  </si>
  <si>
    <t>Исполнено за 2023 год</t>
  </si>
  <si>
    <t>Первоначальный план на 2024 год</t>
  </si>
  <si>
    <t xml:space="preserve">"22"января 2024 г. </t>
  </si>
  <si>
    <t>Ожидаемое исполнение за январь 2024 года</t>
  </si>
  <si>
    <t>Паспорт муниципального образования Печенгский муниципальный округ по исполнению бюджета на "01" января 2024года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</si>
</sst>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vertical="center" wrapText="1"/>
      <protection locked="0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19" fillId="0" borderId="3" xfId="0" applyNumberFormat="1" applyFont="1" applyFill="1" applyBorder="1" applyAlignment="1" applyProtection="1">
      <alignment vertical="center" wrapText="1"/>
      <protection locked="0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9" fillId="0" borderId="3" xfId="0" applyNumberFormat="1" applyFont="1" applyFill="1" applyBorder="1" applyAlignment="1" applyProtection="1">
      <alignment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3" fontId="7" fillId="0" borderId="3" xfId="0" applyNumberFormat="1" applyFont="1" applyFill="1" applyBorder="1" applyAlignment="1" applyProtection="1">
      <alignment horizontal="center" wrapText="1"/>
    </xf>
    <xf numFmtId="3" fontId="7" fillId="2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wrapText="1"/>
      <protection locked="0"/>
    </xf>
    <xf numFmtId="3" fontId="32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</xf>
    <xf numFmtId="3" fontId="11" fillId="0" borderId="3" xfId="0" applyNumberFormat="1" applyFont="1" applyFill="1" applyBorder="1" applyAlignment="1" applyProtection="1">
      <alignment horizontal="center" wrapText="1"/>
      <protection locked="0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33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3" fillId="2" borderId="3" xfId="0" applyNumberFormat="1" applyFont="1" applyFill="1" applyBorder="1" applyAlignment="1" applyProtection="1">
      <alignment horizontal="center" wrapText="1"/>
    </xf>
    <xf numFmtId="3" fontId="18" fillId="0" borderId="3" xfId="0" applyNumberFormat="1" applyFont="1" applyFill="1" applyBorder="1" applyAlignment="1" applyProtection="1">
      <alignment horizontal="center" wrapText="1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3" fontId="7" fillId="2" borderId="3" xfId="0" applyNumberFormat="1" applyFont="1" applyFill="1" applyBorder="1" applyAlignment="1" applyProtection="1">
      <alignment horizontal="center" wrapText="1"/>
      <protection locked="0"/>
    </xf>
    <xf numFmtId="164" fontId="7" fillId="0" borderId="3" xfId="0" applyNumberFormat="1" applyFont="1" applyFill="1" applyBorder="1" applyAlignment="1" applyProtection="1">
      <alignment horizontal="center" wrapText="1"/>
    </xf>
    <xf numFmtId="0" fontId="6" fillId="0" borderId="3" xfId="0" applyFont="1" applyFill="1" applyBorder="1" applyAlignment="1" applyProtection="1">
      <alignment horizontal="justify" wrapText="1"/>
    </xf>
    <xf numFmtId="3" fontId="18" fillId="0" borderId="3" xfId="0" applyNumberFormat="1" applyFont="1" applyBorder="1" applyAlignment="1" applyProtection="1">
      <alignment wrapText="1"/>
    </xf>
    <xf numFmtId="3" fontId="0" fillId="2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Border="1" applyAlignment="1" applyProtection="1">
      <alignment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0" fillId="0" borderId="3" xfId="0" applyNumberFormat="1" applyFont="1" applyBorder="1" applyAlignment="1" applyProtection="1">
      <alignment wrapText="1"/>
      <protection locked="0"/>
    </xf>
    <xf numFmtId="3" fontId="11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alignment horizontal="center"/>
      <protection locked="0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3" fontId="11" fillId="0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wrapText="1"/>
      <protection locked="0"/>
    </xf>
    <xf numFmtId="0" fontId="3" fillId="0" borderId="6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wrapText="1"/>
    </xf>
    <xf numFmtId="3" fontId="18" fillId="2" borderId="3" xfId="0" applyNumberFormat="1" applyFont="1" applyFill="1" applyBorder="1" applyAlignment="1" applyProtection="1">
      <alignment wrapText="1"/>
    </xf>
    <xf numFmtId="3" fontId="3" fillId="0" borderId="3" xfId="0" applyNumberFormat="1" applyFont="1" applyFill="1" applyBorder="1" applyAlignment="1" applyProtection="1">
      <alignment wrapText="1"/>
    </xf>
    <xf numFmtId="164" fontId="18" fillId="0" borderId="3" xfId="0" applyNumberFormat="1" applyFont="1" applyFill="1" applyBorder="1" applyAlignment="1" applyProtection="1">
      <alignment wrapText="1"/>
    </xf>
    <xf numFmtId="0" fontId="6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2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</xf>
    <xf numFmtId="164" fontId="18" fillId="0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  <protection locked="0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  <protection locked="0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horizontal="center" wrapText="1"/>
      <protection locked="0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0" fontId="18" fillId="0" borderId="3" xfId="0" applyNumberFormat="1" applyFont="1" applyFill="1" applyBorder="1" applyAlignment="1" applyProtection="1">
      <alignment wrapText="1"/>
      <protection locked="0"/>
    </xf>
    <xf numFmtId="3" fontId="6" fillId="0" borderId="3" xfId="0" applyNumberFormat="1" applyFont="1" applyFill="1" applyBorder="1" applyAlignment="1" applyProtection="1">
      <alignment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3" fontId="0" fillId="2" borderId="3" xfId="0" applyNumberFormat="1" applyFont="1" applyFill="1" applyBorder="1" applyAlignment="1" applyProtection="1">
      <alignment wrapText="1"/>
    </xf>
    <xf numFmtId="0" fontId="0" fillId="0" borderId="0" xfId="0" applyProtection="1"/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18" fillId="0" borderId="3" xfId="0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wrapText="1"/>
    </xf>
    <xf numFmtId="3" fontId="6" fillId="7" borderId="3" xfId="0" applyNumberFormat="1" applyFont="1" applyFill="1" applyBorder="1" applyAlignment="1" applyProtection="1">
      <alignment horizontal="right" wrapText="1"/>
      <protection locked="0"/>
    </xf>
    <xf numFmtId="3" fontId="18" fillId="7" borderId="3" xfId="0" applyNumberFormat="1" applyFont="1" applyFill="1" applyBorder="1" applyAlignment="1" applyProtection="1">
      <alignment horizontal="right" wrapText="1"/>
      <protection locked="0"/>
    </xf>
    <xf numFmtId="3" fontId="6" fillId="7" borderId="3" xfId="0" applyNumberFormat="1" applyFont="1" applyFill="1" applyBorder="1" applyAlignment="1" applyProtection="1">
      <alignment horizontal="center" wrapText="1"/>
      <protection locked="0"/>
    </xf>
    <xf numFmtId="3" fontId="18" fillId="7" borderId="3" xfId="0" applyNumberFormat="1" applyFont="1" applyFill="1" applyBorder="1" applyAlignment="1" applyProtection="1">
      <alignment horizontal="center" wrapText="1"/>
      <protection locked="0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93"/>
  <sheetViews>
    <sheetView tabSelected="1" view="pageBreakPreview" zoomScale="80" zoomScaleNormal="100" zoomScaleSheetLayoutView="80" workbookViewId="0">
      <pane xSplit="2" ySplit="6" topLeftCell="C166" activePane="bottomRight" state="frozen"/>
      <selection pane="topRight" activeCell="C1" sqref="C1"/>
      <selection pane="bottomLeft" activeCell="A7" sqref="A7"/>
      <selection pane="bottomRight" activeCell="M167" sqref="M167"/>
    </sheetView>
  </sheetViews>
  <sheetFormatPr defaultRowHeight="15" x14ac:dyDescent="0.25"/>
  <cols>
    <col min="1" max="1" width="4" customWidth="1"/>
    <col min="2" max="2" width="39.28515625" customWidth="1"/>
    <col min="3" max="11" width="12.42578125" customWidth="1"/>
    <col min="13" max="21" width="11" customWidth="1"/>
    <col min="22" max="22" width="10" bestFit="1" customWidth="1"/>
  </cols>
  <sheetData>
    <row r="1" spans="1:22" ht="18.75" x14ac:dyDescent="0.25">
      <c r="A1" s="1"/>
      <c r="B1" s="2"/>
      <c r="C1" s="179" t="s">
        <v>225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3"/>
      <c r="T1" s="4" t="s">
        <v>0</v>
      </c>
      <c r="U1" s="3"/>
      <c r="V1" s="5"/>
    </row>
    <row r="2" spans="1:22" x14ac:dyDescent="0.25">
      <c r="A2" s="180" t="s">
        <v>1</v>
      </c>
      <c r="B2" s="183" t="s">
        <v>2</v>
      </c>
      <c r="C2" s="184" t="s">
        <v>212</v>
      </c>
      <c r="D2" s="185"/>
      <c r="E2" s="185"/>
      <c r="F2" s="184" t="s">
        <v>210</v>
      </c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6"/>
    </row>
    <row r="3" spans="1:22" ht="24" customHeight="1" x14ac:dyDescent="0.25">
      <c r="A3" s="181"/>
      <c r="B3" s="183"/>
      <c r="C3" s="187" t="s">
        <v>3</v>
      </c>
      <c r="D3" s="187"/>
      <c r="E3" s="187"/>
      <c r="F3" s="173" t="s">
        <v>4</v>
      </c>
      <c r="G3" s="173"/>
      <c r="H3" s="173"/>
      <c r="I3" s="173" t="s">
        <v>5</v>
      </c>
      <c r="J3" s="173"/>
      <c r="K3" s="173"/>
      <c r="L3" s="174" t="s">
        <v>219</v>
      </c>
      <c r="M3" s="176" t="s">
        <v>221</v>
      </c>
      <c r="N3" s="177"/>
      <c r="O3" s="178"/>
      <c r="P3" s="176" t="s">
        <v>222</v>
      </c>
      <c r="Q3" s="177"/>
      <c r="R3" s="178"/>
      <c r="S3" s="188" t="s">
        <v>224</v>
      </c>
      <c r="T3" s="189"/>
      <c r="U3" s="190"/>
      <c r="V3" s="174" t="s">
        <v>213</v>
      </c>
    </row>
    <row r="4" spans="1:22" ht="15" customHeight="1" x14ac:dyDescent="0.25">
      <c r="A4" s="181"/>
      <c r="B4" s="183"/>
      <c r="C4" s="187" t="s">
        <v>6</v>
      </c>
      <c r="D4" s="187" t="s">
        <v>7</v>
      </c>
      <c r="E4" s="187"/>
      <c r="F4" s="172" t="s">
        <v>6</v>
      </c>
      <c r="G4" s="173" t="s">
        <v>7</v>
      </c>
      <c r="H4" s="173"/>
      <c r="I4" s="172" t="s">
        <v>6</v>
      </c>
      <c r="J4" s="173" t="s">
        <v>7</v>
      </c>
      <c r="K4" s="173"/>
      <c r="L4" s="175"/>
      <c r="M4" s="168" t="s">
        <v>6</v>
      </c>
      <c r="N4" s="170" t="s">
        <v>8</v>
      </c>
      <c r="O4" s="171"/>
      <c r="P4" s="168" t="s">
        <v>6</v>
      </c>
      <c r="Q4" s="170" t="s">
        <v>8</v>
      </c>
      <c r="R4" s="171"/>
      <c r="S4" s="168" t="s">
        <v>6</v>
      </c>
      <c r="T4" s="170" t="s">
        <v>8</v>
      </c>
      <c r="U4" s="171"/>
      <c r="V4" s="174"/>
    </row>
    <row r="5" spans="1:22" ht="38.25" x14ac:dyDescent="0.25">
      <c r="A5" s="182"/>
      <c r="B5" s="183"/>
      <c r="C5" s="187"/>
      <c r="D5" s="6" t="s">
        <v>208</v>
      </c>
      <c r="E5" s="7" t="s">
        <v>9</v>
      </c>
      <c r="F5" s="172"/>
      <c r="G5" s="8" t="s">
        <v>208</v>
      </c>
      <c r="H5" s="9" t="s">
        <v>9</v>
      </c>
      <c r="I5" s="172"/>
      <c r="J5" s="8" t="s">
        <v>208</v>
      </c>
      <c r="K5" s="9" t="s">
        <v>9</v>
      </c>
      <c r="L5" s="175"/>
      <c r="M5" s="169"/>
      <c r="N5" s="8" t="s">
        <v>208</v>
      </c>
      <c r="O5" s="9" t="s">
        <v>10</v>
      </c>
      <c r="P5" s="169"/>
      <c r="Q5" s="8" t="s">
        <v>208</v>
      </c>
      <c r="R5" s="9" t="s">
        <v>10</v>
      </c>
      <c r="S5" s="169"/>
      <c r="T5" s="8" t="s">
        <v>208</v>
      </c>
      <c r="U5" s="9" t="s">
        <v>10</v>
      </c>
      <c r="V5" s="174"/>
    </row>
    <row r="6" spans="1:22" x14ac:dyDescent="0.25">
      <c r="A6" s="10" t="s">
        <v>11</v>
      </c>
      <c r="B6" s="11" t="s">
        <v>12</v>
      </c>
      <c r="C6" s="12">
        <f>C7+C37</f>
        <v>3373105.6049599997</v>
      </c>
      <c r="D6" s="12">
        <f>D7+D37</f>
        <v>1954556.6343900003</v>
      </c>
      <c r="E6" s="12">
        <f>C6-D6</f>
        <v>1418548.9705699994</v>
      </c>
      <c r="F6" s="12">
        <f>F7+F37</f>
        <v>3048860.58164</v>
      </c>
      <c r="G6" s="12">
        <f>G7+G37</f>
        <v>1741913.41864</v>
      </c>
      <c r="H6" s="12">
        <f>F6-G6</f>
        <v>1306947.1629999999</v>
      </c>
      <c r="I6" s="12">
        <f>I7+I37</f>
        <v>3227956.3054499999</v>
      </c>
      <c r="J6" s="12">
        <f>J7+J37</f>
        <v>1737609.5177</v>
      </c>
      <c r="K6" s="12">
        <f>I6-J6</f>
        <v>1490346.7877499999</v>
      </c>
      <c r="L6" s="13">
        <f>K6/E6</f>
        <v>1.0506135626401045</v>
      </c>
      <c r="M6" s="12">
        <f>M7+M37</f>
        <v>3194061.4131700001</v>
      </c>
      <c r="N6" s="12">
        <f>N7+N37</f>
        <v>1699506.54746</v>
      </c>
      <c r="O6" s="12">
        <f>M6-N6</f>
        <v>1494554.86571</v>
      </c>
      <c r="P6" s="12">
        <f>P7+P37</f>
        <v>3224206.0198499998</v>
      </c>
      <c r="Q6" s="12">
        <f>Q7+Q37</f>
        <v>1804128.5594499998</v>
      </c>
      <c r="R6" s="12">
        <f>P6-Q6</f>
        <v>1420077.4604</v>
      </c>
      <c r="S6" s="12">
        <f>S7+S37</f>
        <v>91496.385060000001</v>
      </c>
      <c r="T6" s="12">
        <f>T7+T37</f>
        <v>36556.400000000001</v>
      </c>
      <c r="U6" s="12">
        <f>S6-T6</f>
        <v>54939.985059999999</v>
      </c>
      <c r="V6" s="13">
        <f>U6/E6</f>
        <v>3.8729706340644758E-2</v>
      </c>
    </row>
    <row r="7" spans="1:22" x14ac:dyDescent="0.25">
      <c r="A7" s="14" t="s">
        <v>13</v>
      </c>
      <c r="B7" s="15" t="s">
        <v>14</v>
      </c>
      <c r="C7" s="16">
        <f>C8+C21</f>
        <v>1074441.8439099998</v>
      </c>
      <c r="D7" s="16">
        <f>D8+D21</f>
        <v>1873.90669</v>
      </c>
      <c r="E7" s="17">
        <f t="shared" ref="E7:E99" si="0">C7-D7</f>
        <v>1072567.9372199997</v>
      </c>
      <c r="F7" s="16">
        <f>F8+F21</f>
        <v>983157.78899999987</v>
      </c>
      <c r="G7" s="16">
        <f>G8+G21</f>
        <v>0</v>
      </c>
      <c r="H7" s="17">
        <f t="shared" ref="H7:H49" si="1">F7-G7</f>
        <v>983157.78899999987</v>
      </c>
      <c r="I7" s="16">
        <f>I8+I21</f>
        <v>1132533.69144</v>
      </c>
      <c r="J7" s="16">
        <f>J8+J21</f>
        <v>548.19271000000003</v>
      </c>
      <c r="K7" s="17">
        <f t="shared" ref="K7:K49" si="2">I7-J7</f>
        <v>1131985.4987299999</v>
      </c>
      <c r="L7" s="18">
        <f>K7/E7</f>
        <v>1.0553974806146127</v>
      </c>
      <c r="M7" s="16">
        <f>M8+M21</f>
        <v>1138030.2194700001</v>
      </c>
      <c r="N7" s="16">
        <f>N8+N21</f>
        <v>1885.1163899999999</v>
      </c>
      <c r="O7" s="17">
        <f t="shared" ref="O7:O49" si="3">M7-N7</f>
        <v>1136145.10308</v>
      </c>
      <c r="P7" s="16">
        <f>P8+P21</f>
        <v>1139013</v>
      </c>
      <c r="Q7" s="16">
        <f>Q8+Q21</f>
        <v>0</v>
      </c>
      <c r="R7" s="17">
        <f t="shared" ref="R7:R49" si="4">P7-Q7</f>
        <v>1139013</v>
      </c>
      <c r="S7" s="16">
        <f>S8+S21</f>
        <v>54939.985059999999</v>
      </c>
      <c r="T7" s="16">
        <f>T8+T21</f>
        <v>0</v>
      </c>
      <c r="U7" s="17">
        <f t="shared" ref="U7:U49" si="5">S7-T7</f>
        <v>54939.985059999999</v>
      </c>
      <c r="V7" s="18">
        <f>U7/E7</f>
        <v>5.122284859866269E-2</v>
      </c>
    </row>
    <row r="8" spans="1:22" ht="19.5" x14ac:dyDescent="0.25">
      <c r="A8" s="19" t="s">
        <v>15</v>
      </c>
      <c r="B8" s="20" t="s">
        <v>16</v>
      </c>
      <c r="C8" s="21">
        <f>C10+C11+C12+C17+C18+C19+C20</f>
        <v>851658.61907999986</v>
      </c>
      <c r="D8" s="21"/>
      <c r="E8" s="17">
        <f t="shared" si="0"/>
        <v>851658.61907999986</v>
      </c>
      <c r="F8" s="21">
        <f>F10+F11+F12+F17+F18+F19+F20</f>
        <v>811598.54999999993</v>
      </c>
      <c r="G8" s="21"/>
      <c r="H8" s="17">
        <f t="shared" si="1"/>
        <v>811598.54999999993</v>
      </c>
      <c r="I8" s="21">
        <f>I10+I11+I12+I17+I18+I19+I20</f>
        <v>931500.48176999995</v>
      </c>
      <c r="J8" s="21"/>
      <c r="K8" s="17">
        <f t="shared" si="2"/>
        <v>931500.48176999995</v>
      </c>
      <c r="L8" s="22">
        <f>K8/E8</f>
        <v>1.0937486698323431</v>
      </c>
      <c r="M8" s="28">
        <f>M10+M11+M12+M17+M18+M19+M20</f>
        <v>927607.6507900001</v>
      </c>
      <c r="N8" s="21"/>
      <c r="O8" s="17">
        <f t="shared" si="3"/>
        <v>927607.6507900001</v>
      </c>
      <c r="P8" s="21">
        <f>P10+P11+P12+P17+P18+P19+P20</f>
        <v>951127.9</v>
      </c>
      <c r="Q8" s="21"/>
      <c r="R8" s="17">
        <f t="shared" si="4"/>
        <v>951127.9</v>
      </c>
      <c r="S8" s="21">
        <f>S10+S11+S12+S17+S18+S19+S20</f>
        <v>52789.985059999999</v>
      </c>
      <c r="T8" s="21"/>
      <c r="U8" s="17">
        <f t="shared" si="5"/>
        <v>52789.985059999999</v>
      </c>
      <c r="V8" s="22">
        <f>U8/E8</f>
        <v>6.1984912589772331E-2</v>
      </c>
    </row>
    <row r="9" spans="1:22" x14ac:dyDescent="0.25">
      <c r="A9" s="23"/>
      <c r="B9" s="24" t="s">
        <v>17</v>
      </c>
      <c r="C9" s="25"/>
      <c r="D9" s="25"/>
      <c r="E9" s="17"/>
      <c r="F9" s="25"/>
      <c r="G9" s="25"/>
      <c r="H9" s="17"/>
      <c r="I9" s="25"/>
      <c r="J9" s="25"/>
      <c r="K9" s="17"/>
      <c r="L9" s="18"/>
      <c r="M9" s="25"/>
      <c r="N9" s="25"/>
      <c r="O9" s="17"/>
      <c r="P9" s="25"/>
      <c r="Q9" s="25"/>
      <c r="R9" s="17"/>
      <c r="S9" s="25"/>
      <c r="T9" s="25"/>
      <c r="U9" s="17"/>
      <c r="V9" s="18"/>
    </row>
    <row r="10" spans="1:22" x14ac:dyDescent="0.25">
      <c r="A10" s="23" t="s">
        <v>18</v>
      </c>
      <c r="B10" s="24" t="s">
        <v>19</v>
      </c>
      <c r="C10" s="25">
        <v>692706.45360999997</v>
      </c>
      <c r="D10" s="25"/>
      <c r="E10" s="17">
        <f t="shared" si="0"/>
        <v>692706.45360999997</v>
      </c>
      <c r="F10" s="25">
        <v>675049.9</v>
      </c>
      <c r="G10" s="25"/>
      <c r="H10" s="17">
        <f t="shared" si="1"/>
        <v>675049.9</v>
      </c>
      <c r="I10" s="25">
        <v>763000</v>
      </c>
      <c r="J10" s="25"/>
      <c r="K10" s="17">
        <f t="shared" si="2"/>
        <v>763000</v>
      </c>
      <c r="L10" s="18">
        <f>K10/E10</f>
        <v>1.1014766731617256</v>
      </c>
      <c r="M10" s="25">
        <v>763261.76471000002</v>
      </c>
      <c r="N10" s="25"/>
      <c r="O10" s="17">
        <f t="shared" si="3"/>
        <v>763261.76471000002</v>
      </c>
      <c r="P10" s="25">
        <v>774046.95</v>
      </c>
      <c r="Q10" s="25"/>
      <c r="R10" s="17">
        <f t="shared" si="4"/>
        <v>774046.95</v>
      </c>
      <c r="S10" s="25">
        <v>50060</v>
      </c>
      <c r="T10" s="25"/>
      <c r="U10" s="17">
        <f t="shared" si="5"/>
        <v>50060</v>
      </c>
      <c r="V10" s="18">
        <f>U10/E10</f>
        <v>7.2267263772576654E-2</v>
      </c>
    </row>
    <row r="11" spans="1:22" x14ac:dyDescent="0.25">
      <c r="A11" s="23" t="s">
        <v>20</v>
      </c>
      <c r="B11" s="24" t="s">
        <v>21</v>
      </c>
      <c r="C11" s="25">
        <v>15967.49015</v>
      </c>
      <c r="D11" s="25"/>
      <c r="E11" s="17">
        <f t="shared" si="0"/>
        <v>15967.49015</v>
      </c>
      <c r="F11" s="25">
        <v>14418.9</v>
      </c>
      <c r="G11" s="25"/>
      <c r="H11" s="17">
        <f t="shared" si="1"/>
        <v>14418.9</v>
      </c>
      <c r="I11" s="25">
        <v>16213.8</v>
      </c>
      <c r="J11" s="25"/>
      <c r="K11" s="17">
        <f t="shared" si="2"/>
        <v>16213.8</v>
      </c>
      <c r="L11" s="18"/>
      <c r="M11" s="25">
        <v>16403.059000000001</v>
      </c>
      <c r="N11" s="25"/>
      <c r="O11" s="17">
        <f t="shared" si="3"/>
        <v>16403.059000000001</v>
      </c>
      <c r="P11" s="25">
        <v>17105.099999999999</v>
      </c>
      <c r="Q11" s="25"/>
      <c r="R11" s="17">
        <f t="shared" si="4"/>
        <v>17105.099999999999</v>
      </c>
      <c r="S11" s="25">
        <v>1509.98506</v>
      </c>
      <c r="T11" s="25"/>
      <c r="U11" s="17">
        <f t="shared" si="5"/>
        <v>1509.98506</v>
      </c>
      <c r="V11" s="18"/>
    </row>
    <row r="12" spans="1:22" x14ac:dyDescent="0.25">
      <c r="A12" s="23" t="s">
        <v>22</v>
      </c>
      <c r="B12" s="24" t="s">
        <v>23</v>
      </c>
      <c r="C12" s="26">
        <f>SUM(C13:C16)</f>
        <v>118522.77938000001</v>
      </c>
      <c r="D12" s="26">
        <f>SUM(D13:D16)</f>
        <v>0</v>
      </c>
      <c r="E12" s="17">
        <f>C12-D12</f>
        <v>118522.77938000001</v>
      </c>
      <c r="F12" s="26">
        <f>SUM(F13:F16)</f>
        <v>103030.83</v>
      </c>
      <c r="G12" s="26">
        <f>SUM(G13:G16)</f>
        <v>0</v>
      </c>
      <c r="H12" s="17">
        <f t="shared" si="1"/>
        <v>103030.83</v>
      </c>
      <c r="I12" s="26">
        <f>SUM(I13:I16)</f>
        <v>132903.05176999999</v>
      </c>
      <c r="J12" s="26">
        <f>SUM(J13:J16)</f>
        <v>0</v>
      </c>
      <c r="K12" s="17">
        <f t="shared" si="2"/>
        <v>132903.05176999999</v>
      </c>
      <c r="L12" s="18">
        <f t="shared" ref="L12:L21" si="6">K12/E12</f>
        <v>1.1213291863827703</v>
      </c>
      <c r="M12" s="26">
        <f>SUM(M13:M16)</f>
        <v>126179.05486</v>
      </c>
      <c r="N12" s="26">
        <f>SUM(N13:N16)</f>
        <v>0</v>
      </c>
      <c r="O12" s="17">
        <f t="shared" si="3"/>
        <v>126179.05486</v>
      </c>
      <c r="P12" s="26">
        <f>SUM(P13:P16)</f>
        <v>138759.85</v>
      </c>
      <c r="Q12" s="26">
        <f>SUM(Q13:Q16)</f>
        <v>0</v>
      </c>
      <c r="R12" s="17">
        <f t="shared" si="4"/>
        <v>138759.85</v>
      </c>
      <c r="S12" s="26">
        <f>SUM(S13:S16)</f>
        <v>0</v>
      </c>
      <c r="T12" s="26">
        <f>SUM(T13:T16)</f>
        <v>0</v>
      </c>
      <c r="U12" s="17">
        <f t="shared" si="5"/>
        <v>0</v>
      </c>
      <c r="V12" s="18">
        <f t="shared" ref="V12:V21" si="7">U12/E12</f>
        <v>0</v>
      </c>
    </row>
    <row r="13" spans="1:22" ht="26.25" x14ac:dyDescent="0.25">
      <c r="A13" s="23"/>
      <c r="B13" s="24" t="s">
        <v>24</v>
      </c>
      <c r="C13" s="25">
        <v>116993.46502</v>
      </c>
      <c r="D13" s="25"/>
      <c r="E13" s="27">
        <f t="shared" si="0"/>
        <v>116993.46502</v>
      </c>
      <c r="F13" s="25">
        <v>101251.2</v>
      </c>
      <c r="G13" s="25"/>
      <c r="H13" s="27">
        <f t="shared" si="1"/>
        <v>101251.2</v>
      </c>
      <c r="I13" s="25">
        <v>132223.02176999999</v>
      </c>
      <c r="J13" s="25"/>
      <c r="K13" s="27">
        <f t="shared" si="2"/>
        <v>132223.02176999999</v>
      </c>
      <c r="L13" s="18">
        <f t="shared" si="6"/>
        <v>1.1301744225405794</v>
      </c>
      <c r="M13" s="25">
        <v>126330.50339</v>
      </c>
      <c r="N13" s="25"/>
      <c r="O13" s="27">
        <f t="shared" si="3"/>
        <v>126330.50339</v>
      </c>
      <c r="P13" s="25">
        <v>138145.88</v>
      </c>
      <c r="Q13" s="25"/>
      <c r="R13" s="27">
        <f t="shared" si="4"/>
        <v>138145.88</v>
      </c>
      <c r="S13" s="25"/>
      <c r="T13" s="25"/>
      <c r="U13" s="27">
        <f t="shared" si="5"/>
        <v>0</v>
      </c>
      <c r="V13" s="18">
        <f t="shared" si="7"/>
        <v>0</v>
      </c>
    </row>
    <row r="14" spans="1:22" ht="26.25" x14ac:dyDescent="0.25">
      <c r="A14" s="23"/>
      <c r="B14" s="24" t="s">
        <v>25</v>
      </c>
      <c r="C14" s="25">
        <v>13.042920000000001</v>
      </c>
      <c r="D14" s="25"/>
      <c r="E14" s="27">
        <f t="shared" si="0"/>
        <v>13.042920000000001</v>
      </c>
      <c r="F14" s="25">
        <v>60</v>
      </c>
      <c r="G14" s="25"/>
      <c r="H14" s="27">
        <f t="shared" si="1"/>
        <v>60</v>
      </c>
      <c r="I14" s="25">
        <v>0</v>
      </c>
      <c r="J14" s="25"/>
      <c r="K14" s="27">
        <f t="shared" si="2"/>
        <v>0</v>
      </c>
      <c r="L14" s="18">
        <f t="shared" si="6"/>
        <v>0</v>
      </c>
      <c r="M14" s="25">
        <v>-455.64361000000002</v>
      </c>
      <c r="N14" s="25"/>
      <c r="O14" s="27">
        <f t="shared" si="3"/>
        <v>-455.64361000000002</v>
      </c>
      <c r="P14" s="25">
        <v>0</v>
      </c>
      <c r="Q14" s="25"/>
      <c r="R14" s="27">
        <f t="shared" si="4"/>
        <v>0</v>
      </c>
      <c r="S14" s="25">
        <v>0</v>
      </c>
      <c r="T14" s="25"/>
      <c r="U14" s="27">
        <f t="shared" si="5"/>
        <v>0</v>
      </c>
      <c r="V14" s="18">
        <f t="shared" si="7"/>
        <v>0</v>
      </c>
    </row>
    <row r="15" spans="1:22" x14ac:dyDescent="0.25">
      <c r="A15" s="23"/>
      <c r="B15" s="24" t="s">
        <v>26</v>
      </c>
      <c r="C15" s="25"/>
      <c r="D15" s="25"/>
      <c r="E15" s="27">
        <f t="shared" si="0"/>
        <v>0</v>
      </c>
      <c r="F15" s="25"/>
      <c r="G15" s="25"/>
      <c r="H15" s="27">
        <f t="shared" si="1"/>
        <v>0</v>
      </c>
      <c r="I15" s="25"/>
      <c r="J15" s="25"/>
      <c r="K15" s="27">
        <f t="shared" si="2"/>
        <v>0</v>
      </c>
      <c r="L15" s="18" t="e">
        <f t="shared" si="6"/>
        <v>#DIV/0!</v>
      </c>
      <c r="M15" s="25"/>
      <c r="N15" s="25"/>
      <c r="O15" s="27">
        <f t="shared" si="3"/>
        <v>0</v>
      </c>
      <c r="P15" s="25"/>
      <c r="Q15" s="25"/>
      <c r="R15" s="27">
        <f t="shared" si="4"/>
        <v>0</v>
      </c>
      <c r="S15" s="25">
        <v>0</v>
      </c>
      <c r="T15" s="25"/>
      <c r="U15" s="27">
        <f t="shared" si="5"/>
        <v>0</v>
      </c>
      <c r="V15" s="18" t="e">
        <f t="shared" si="7"/>
        <v>#DIV/0!</v>
      </c>
    </row>
    <row r="16" spans="1:22" x14ac:dyDescent="0.25">
      <c r="A16" s="23"/>
      <c r="B16" s="24" t="s">
        <v>27</v>
      </c>
      <c r="C16" s="25">
        <v>1516.27144</v>
      </c>
      <c r="D16" s="25"/>
      <c r="E16" s="27">
        <f t="shared" si="0"/>
        <v>1516.27144</v>
      </c>
      <c r="F16" s="25">
        <v>1719.63</v>
      </c>
      <c r="G16" s="25"/>
      <c r="H16" s="27">
        <f t="shared" si="1"/>
        <v>1719.63</v>
      </c>
      <c r="I16" s="25">
        <v>680.03</v>
      </c>
      <c r="J16" s="25"/>
      <c r="K16" s="27">
        <f t="shared" si="2"/>
        <v>680.03</v>
      </c>
      <c r="L16" s="18">
        <f t="shared" si="6"/>
        <v>0.44848829969388593</v>
      </c>
      <c r="M16" s="25">
        <v>304.19508000000002</v>
      </c>
      <c r="N16" s="25"/>
      <c r="O16" s="27">
        <f t="shared" si="3"/>
        <v>304.19508000000002</v>
      </c>
      <c r="P16" s="25">
        <v>613.97</v>
      </c>
      <c r="Q16" s="25"/>
      <c r="R16" s="27">
        <f t="shared" si="4"/>
        <v>613.97</v>
      </c>
      <c r="S16" s="25">
        <v>0</v>
      </c>
      <c r="T16" s="25"/>
      <c r="U16" s="27">
        <f t="shared" si="5"/>
        <v>0</v>
      </c>
      <c r="V16" s="18">
        <f t="shared" si="7"/>
        <v>0</v>
      </c>
    </row>
    <row r="17" spans="1:22" x14ac:dyDescent="0.25">
      <c r="A17" s="23" t="s">
        <v>28</v>
      </c>
      <c r="B17" s="24" t="s">
        <v>29</v>
      </c>
      <c r="C17" s="25">
        <v>9326.9205399999992</v>
      </c>
      <c r="D17" s="25"/>
      <c r="E17" s="17">
        <f t="shared" si="0"/>
        <v>9326.9205399999992</v>
      </c>
      <c r="F17" s="25">
        <v>8671.2199999999993</v>
      </c>
      <c r="G17" s="25"/>
      <c r="H17" s="17">
        <f t="shared" si="1"/>
        <v>8671.2199999999993</v>
      </c>
      <c r="I17" s="25">
        <v>8671.2199999999993</v>
      </c>
      <c r="J17" s="25"/>
      <c r="K17" s="17">
        <f>I17-J17</f>
        <v>8671.2199999999993</v>
      </c>
      <c r="L17" s="18">
        <f t="shared" si="6"/>
        <v>0.92969806731086402</v>
      </c>
      <c r="M17" s="25">
        <v>10856.024869999999</v>
      </c>
      <c r="N17" s="25"/>
      <c r="O17" s="17">
        <f t="shared" si="3"/>
        <v>10856.024869999999</v>
      </c>
      <c r="P17" s="25">
        <v>9549.2999999999993</v>
      </c>
      <c r="Q17" s="25"/>
      <c r="R17" s="17">
        <f t="shared" si="4"/>
        <v>9549.2999999999993</v>
      </c>
      <c r="S17" s="25">
        <v>700</v>
      </c>
      <c r="T17" s="25"/>
      <c r="U17" s="17">
        <f t="shared" si="5"/>
        <v>700</v>
      </c>
      <c r="V17" s="18">
        <f t="shared" si="7"/>
        <v>7.5051566805778749E-2</v>
      </c>
    </row>
    <row r="18" spans="1:22" x14ac:dyDescent="0.25">
      <c r="A18" s="23" t="s">
        <v>30</v>
      </c>
      <c r="B18" s="24" t="s">
        <v>31</v>
      </c>
      <c r="C18" s="25">
        <v>5294.6281399999998</v>
      </c>
      <c r="D18" s="25"/>
      <c r="E18" s="17">
        <f t="shared" si="0"/>
        <v>5294.6281399999998</v>
      </c>
      <c r="F18" s="25">
        <v>2921</v>
      </c>
      <c r="G18" s="25"/>
      <c r="H18" s="17">
        <f t="shared" si="1"/>
        <v>2921</v>
      </c>
      <c r="I18" s="25">
        <v>1176.21</v>
      </c>
      <c r="J18" s="25"/>
      <c r="K18" s="17">
        <f t="shared" si="2"/>
        <v>1176.21</v>
      </c>
      <c r="L18" s="18">
        <f t="shared" si="6"/>
        <v>0.22215157871313698</v>
      </c>
      <c r="M18" s="25">
        <v>1573.18426</v>
      </c>
      <c r="N18" s="25"/>
      <c r="O18" s="17">
        <f t="shared" si="3"/>
        <v>1573.18426</v>
      </c>
      <c r="P18" s="25">
        <v>2092.4</v>
      </c>
      <c r="Q18" s="25"/>
      <c r="R18" s="17">
        <f t="shared" si="4"/>
        <v>2092.4</v>
      </c>
      <c r="S18" s="25">
        <v>20</v>
      </c>
      <c r="T18" s="25"/>
      <c r="U18" s="17">
        <f t="shared" si="5"/>
        <v>20</v>
      </c>
      <c r="V18" s="18">
        <f t="shared" si="7"/>
        <v>3.7774135352213801E-3</v>
      </c>
    </row>
    <row r="19" spans="1:22" x14ac:dyDescent="0.25">
      <c r="A19" s="23" t="s">
        <v>32</v>
      </c>
      <c r="B19" s="24" t="s">
        <v>33</v>
      </c>
      <c r="C19" s="25">
        <v>9840.3472600000005</v>
      </c>
      <c r="D19" s="25"/>
      <c r="E19" s="17">
        <f t="shared" si="0"/>
        <v>9840.3472600000005</v>
      </c>
      <c r="F19" s="25">
        <v>7506.7</v>
      </c>
      <c r="G19" s="25"/>
      <c r="H19" s="17">
        <f t="shared" si="1"/>
        <v>7506.7</v>
      </c>
      <c r="I19" s="25">
        <v>9536.2000000000007</v>
      </c>
      <c r="J19" s="25"/>
      <c r="K19" s="17">
        <f t="shared" ref="K19" si="8">I19-J19</f>
        <v>9536.2000000000007</v>
      </c>
      <c r="L19" s="18">
        <f t="shared" si="6"/>
        <v>0.96909181637965902</v>
      </c>
      <c r="M19" s="25">
        <v>9334.3575600000004</v>
      </c>
      <c r="N19" s="25"/>
      <c r="O19" s="17">
        <f t="shared" si="3"/>
        <v>9334.3575600000004</v>
      </c>
      <c r="P19" s="25">
        <v>9574.2999999999993</v>
      </c>
      <c r="Q19" s="25"/>
      <c r="R19" s="17">
        <f t="shared" si="4"/>
        <v>9574.2999999999993</v>
      </c>
      <c r="S19" s="25">
        <v>500</v>
      </c>
      <c r="T19" s="25"/>
      <c r="U19" s="17">
        <f t="shared" si="5"/>
        <v>500</v>
      </c>
      <c r="V19" s="18">
        <f t="shared" si="7"/>
        <v>5.0811214969257092E-2</v>
      </c>
    </row>
    <row r="20" spans="1:22" x14ac:dyDescent="0.25">
      <c r="A20" s="23" t="s">
        <v>34</v>
      </c>
      <c r="B20" s="24" t="s">
        <v>35</v>
      </c>
      <c r="C20" s="25"/>
      <c r="D20" s="25"/>
      <c r="E20" s="17">
        <f t="shared" si="0"/>
        <v>0</v>
      </c>
      <c r="F20" s="25"/>
      <c r="G20" s="25"/>
      <c r="H20" s="17">
        <f t="shared" si="1"/>
        <v>0</v>
      </c>
      <c r="I20" s="25"/>
      <c r="J20" s="25"/>
      <c r="K20" s="17">
        <f t="shared" si="2"/>
        <v>0</v>
      </c>
      <c r="L20" s="18" t="e">
        <f t="shared" si="6"/>
        <v>#DIV/0!</v>
      </c>
      <c r="M20" s="25">
        <v>0.20552999999999999</v>
      </c>
      <c r="N20" s="25"/>
      <c r="O20" s="17">
        <f t="shared" si="3"/>
        <v>0.20552999999999999</v>
      </c>
      <c r="P20" s="25"/>
      <c r="Q20" s="25"/>
      <c r="R20" s="17">
        <f t="shared" si="4"/>
        <v>0</v>
      </c>
      <c r="S20" s="25">
        <v>0</v>
      </c>
      <c r="T20" s="25"/>
      <c r="U20" s="17">
        <f t="shared" si="5"/>
        <v>0</v>
      </c>
      <c r="V20" s="18" t="e">
        <f t="shared" si="7"/>
        <v>#DIV/0!</v>
      </c>
    </row>
    <row r="21" spans="1:22" ht="19.5" x14ac:dyDescent="0.25">
      <c r="A21" s="19" t="s">
        <v>36</v>
      </c>
      <c r="B21" s="20" t="s">
        <v>37</v>
      </c>
      <c r="C21" s="28">
        <f>C23+C24+C25+C26+C27+C28+C29+C30+C31+C32+C33+C36</f>
        <v>222783.22482999996</v>
      </c>
      <c r="D21" s="28">
        <f>D23+D24+D25+D26+D27+D28+D29+D30+D31+D32+D33+D36</f>
        <v>1873.90669</v>
      </c>
      <c r="E21" s="29">
        <f>C21-D21</f>
        <v>220909.31813999996</v>
      </c>
      <c r="F21" s="28">
        <f>F23+F24+F25+F26+F27+F28+F29+F30+F31+F32+F33+F36</f>
        <v>171559.23899999997</v>
      </c>
      <c r="G21" s="28">
        <f>G23+G24+G25+G26+G27+G28+G29+G30+G31+G32+G33+G36</f>
        <v>0</v>
      </c>
      <c r="H21" s="29">
        <f t="shared" si="1"/>
        <v>171559.23899999997</v>
      </c>
      <c r="I21" s="28">
        <f>I23+I24+I25+I26+I27+I28+I29+I30+I31+I32+I33+I36</f>
        <v>201033.20967000004</v>
      </c>
      <c r="J21" s="28">
        <f>J23+J24+J25+J26+J27+J28+J29+J30+J31+J32+J33+J36</f>
        <v>548.19271000000003</v>
      </c>
      <c r="K21" s="29">
        <f t="shared" si="2"/>
        <v>200485.01696000004</v>
      </c>
      <c r="L21" s="30">
        <f t="shared" si="6"/>
        <v>0.90754441074750802</v>
      </c>
      <c r="M21" s="28">
        <f>M23+M24+M25+M26+M27+M28+M29+M30+M31+M32+M33+M36</f>
        <v>210422.56868000003</v>
      </c>
      <c r="N21" s="28">
        <f>N23+N24+N25+N26+N27+N28+N29+N30+N31+N32+N33+N36</f>
        <v>1885.1163899999999</v>
      </c>
      <c r="O21" s="29">
        <f t="shared" si="3"/>
        <v>208537.45229000002</v>
      </c>
      <c r="P21" s="28">
        <f>P23+P24+P25+P26+P27+P28+P29+P30+P31+P32+P33+P36</f>
        <v>187885.09999999998</v>
      </c>
      <c r="Q21" s="28">
        <f>Q23+Q24+Q25+Q26+Q27+Q28+Q29+Q30+Q31+Q32+Q33+Q36</f>
        <v>0</v>
      </c>
      <c r="R21" s="29">
        <f t="shared" si="4"/>
        <v>187885.09999999998</v>
      </c>
      <c r="S21" s="28">
        <f>S23+S24+S25+S26+S27+S28+S29+S30+S31+S32+S33+S36</f>
        <v>2150</v>
      </c>
      <c r="T21" s="28">
        <f>T23+T24+T25+T26+T27+T28+T29+T30+T31+T32+T33+T36</f>
        <v>0</v>
      </c>
      <c r="U21" s="29">
        <f t="shared" si="5"/>
        <v>2150</v>
      </c>
      <c r="V21" s="30">
        <f t="shared" si="7"/>
        <v>9.7325002770478446E-3</v>
      </c>
    </row>
    <row r="22" spans="1:22" x14ac:dyDescent="0.25">
      <c r="A22" s="23"/>
      <c r="B22" s="24" t="s">
        <v>17</v>
      </c>
      <c r="C22" s="25"/>
      <c r="D22" s="25"/>
      <c r="E22" s="17"/>
      <c r="F22" s="25"/>
      <c r="G22" s="25"/>
      <c r="H22" s="17"/>
      <c r="I22" s="25"/>
      <c r="J22" s="25"/>
      <c r="K22" s="17"/>
      <c r="L22" s="18"/>
      <c r="M22" s="25"/>
      <c r="N22" s="25"/>
      <c r="O22" s="17"/>
      <c r="P22" s="25"/>
      <c r="Q22" s="25"/>
      <c r="R22" s="17"/>
      <c r="S22" s="25"/>
      <c r="T22" s="25"/>
      <c r="U22" s="17"/>
      <c r="V22" s="18"/>
    </row>
    <row r="23" spans="1:22" ht="38.25" x14ac:dyDescent="0.25">
      <c r="A23" s="23" t="s">
        <v>18</v>
      </c>
      <c r="B23" s="31" t="s">
        <v>38</v>
      </c>
      <c r="C23" s="25"/>
      <c r="D23" s="25"/>
      <c r="E23" s="17">
        <f t="shared" si="0"/>
        <v>0</v>
      </c>
      <c r="F23" s="25"/>
      <c r="G23" s="25"/>
      <c r="H23" s="17">
        <f t="shared" si="1"/>
        <v>0</v>
      </c>
      <c r="I23" s="25"/>
      <c r="J23" s="25"/>
      <c r="K23" s="17">
        <f t="shared" si="2"/>
        <v>0</v>
      </c>
      <c r="L23" s="18" t="e">
        <f>K23/E23</f>
        <v>#DIV/0!</v>
      </c>
      <c r="M23" s="25"/>
      <c r="N23" s="25"/>
      <c r="O23" s="17">
        <f t="shared" si="3"/>
        <v>0</v>
      </c>
      <c r="P23" s="25"/>
      <c r="Q23" s="25"/>
      <c r="R23" s="17">
        <f t="shared" si="4"/>
        <v>0</v>
      </c>
      <c r="S23" s="25"/>
      <c r="T23" s="25"/>
      <c r="U23" s="17">
        <f t="shared" si="5"/>
        <v>0</v>
      </c>
      <c r="V23" s="18" t="e">
        <f>U23/E23</f>
        <v>#DIV/0!</v>
      </c>
    </row>
    <row r="24" spans="1:22" ht="25.5" x14ac:dyDescent="0.25">
      <c r="A24" s="23" t="s">
        <v>20</v>
      </c>
      <c r="B24" s="31" t="s">
        <v>39</v>
      </c>
      <c r="C24" s="25"/>
      <c r="D24" s="25"/>
      <c r="E24" s="17">
        <f>C24-D24</f>
        <v>0</v>
      </c>
      <c r="F24" s="25"/>
      <c r="G24" s="25"/>
      <c r="H24" s="17">
        <f t="shared" si="1"/>
        <v>0</v>
      </c>
      <c r="I24" s="25"/>
      <c r="J24" s="25"/>
      <c r="K24" s="17">
        <f t="shared" si="2"/>
        <v>0</v>
      </c>
      <c r="L24" s="18" t="e">
        <f>K24/E24</f>
        <v>#DIV/0!</v>
      </c>
      <c r="M24" s="25"/>
      <c r="N24" s="25"/>
      <c r="O24" s="17">
        <f t="shared" si="3"/>
        <v>0</v>
      </c>
      <c r="P24" s="25"/>
      <c r="Q24" s="25"/>
      <c r="R24" s="17">
        <f t="shared" si="4"/>
        <v>0</v>
      </c>
      <c r="S24" s="25"/>
      <c r="T24" s="25"/>
      <c r="U24" s="17">
        <f>S24-T24</f>
        <v>0</v>
      </c>
      <c r="V24" s="18" t="e">
        <f>U24/E24</f>
        <v>#DIV/0!</v>
      </c>
    </row>
    <row r="25" spans="1:22" ht="25.5" x14ac:dyDescent="0.25">
      <c r="A25" s="23" t="s">
        <v>22</v>
      </c>
      <c r="B25" s="31" t="s">
        <v>40</v>
      </c>
      <c r="C25" s="25">
        <f>132647.40789+2435.48313</f>
        <v>135082.89102000001</v>
      </c>
      <c r="D25" s="25"/>
      <c r="E25" s="17">
        <f t="shared" ref="E25:E28" si="9">C25-D25</f>
        <v>135082.89102000001</v>
      </c>
      <c r="F25" s="25">
        <f>134272.8+2347.6</f>
        <v>136620.4</v>
      </c>
      <c r="G25" s="25"/>
      <c r="H25" s="17">
        <f t="shared" si="1"/>
        <v>136620.4</v>
      </c>
      <c r="I25" s="25">
        <f>134272.8+1405.4</f>
        <v>135678.19999999998</v>
      </c>
      <c r="J25" s="25"/>
      <c r="K25" s="17">
        <f t="shared" si="2"/>
        <v>135678.19999999998</v>
      </c>
      <c r="L25" s="18"/>
      <c r="M25" s="25">
        <v>137529.55291999999</v>
      </c>
      <c r="N25" s="25"/>
      <c r="O25" s="17">
        <f t="shared" si="3"/>
        <v>137529.55291999999</v>
      </c>
      <c r="P25" s="25">
        <f>134272.8+1428</f>
        <v>135700.79999999999</v>
      </c>
      <c r="Q25" s="25"/>
      <c r="R25" s="17">
        <f t="shared" si="4"/>
        <v>135700.79999999999</v>
      </c>
      <c r="S25" s="25">
        <v>350</v>
      </c>
      <c r="T25" s="25"/>
      <c r="U25" s="17">
        <f t="shared" si="5"/>
        <v>350</v>
      </c>
      <c r="V25" s="18"/>
    </row>
    <row r="26" spans="1:22" x14ac:dyDescent="0.25">
      <c r="A26" s="23" t="s">
        <v>28</v>
      </c>
      <c r="B26" s="31" t="s">
        <v>41</v>
      </c>
      <c r="C26" s="25"/>
      <c r="D26" s="25"/>
      <c r="E26" s="17">
        <f t="shared" si="9"/>
        <v>0</v>
      </c>
      <c r="F26" s="25"/>
      <c r="G26" s="25"/>
      <c r="H26" s="17">
        <f t="shared" si="1"/>
        <v>0</v>
      </c>
      <c r="I26" s="25"/>
      <c r="J26" s="25"/>
      <c r="K26" s="17">
        <f t="shared" si="2"/>
        <v>0</v>
      </c>
      <c r="L26" s="18" t="e">
        <f>K26/E26</f>
        <v>#DIV/0!</v>
      </c>
      <c r="M26" s="25"/>
      <c r="N26" s="25"/>
      <c r="O26" s="17">
        <f t="shared" si="3"/>
        <v>0</v>
      </c>
      <c r="P26" s="25"/>
      <c r="Q26" s="25"/>
      <c r="R26" s="17">
        <f t="shared" si="4"/>
        <v>0</v>
      </c>
      <c r="S26" s="25"/>
      <c r="T26" s="25"/>
      <c r="U26" s="17">
        <f t="shared" si="5"/>
        <v>0</v>
      </c>
      <c r="V26" s="18" t="e">
        <f>U26/E26</f>
        <v>#DIV/0!</v>
      </c>
    </row>
    <row r="27" spans="1:22" ht="38.25" x14ac:dyDescent="0.25">
      <c r="A27" s="23" t="s">
        <v>30</v>
      </c>
      <c r="B27" s="31" t="s">
        <v>42</v>
      </c>
      <c r="C27" s="25">
        <f>20928.60407</f>
        <v>20928.604070000001</v>
      </c>
      <c r="D27" s="25"/>
      <c r="E27" s="17">
        <f t="shared" si="9"/>
        <v>20928.604070000001</v>
      </c>
      <c r="F27" s="25">
        <v>16794.8</v>
      </c>
      <c r="G27" s="25"/>
      <c r="H27" s="17">
        <f t="shared" si="1"/>
        <v>16794.8</v>
      </c>
      <c r="I27" s="25">
        <v>21653.7</v>
      </c>
      <c r="J27" s="25"/>
      <c r="K27" s="17">
        <f t="shared" si="2"/>
        <v>21653.7</v>
      </c>
      <c r="L27" s="18"/>
      <c r="M27" s="25">
        <v>23674.161629999999</v>
      </c>
      <c r="N27" s="25"/>
      <c r="O27" s="17">
        <f t="shared" si="3"/>
        <v>23674.161629999999</v>
      </c>
      <c r="P27" s="25">
        <v>17119.599999999999</v>
      </c>
      <c r="Q27" s="25"/>
      <c r="R27" s="17">
        <f t="shared" si="4"/>
        <v>17119.599999999999</v>
      </c>
      <c r="S27" s="25">
        <v>1200</v>
      </c>
      <c r="T27" s="25"/>
      <c r="U27" s="17">
        <f t="shared" si="5"/>
        <v>1200</v>
      </c>
      <c r="V27" s="18"/>
    </row>
    <row r="28" spans="1:22" ht="38.25" x14ac:dyDescent="0.25">
      <c r="A28" s="23" t="s">
        <v>32</v>
      </c>
      <c r="B28" s="31" t="s">
        <v>43</v>
      </c>
      <c r="C28" s="25"/>
      <c r="D28" s="25"/>
      <c r="E28" s="17">
        <f t="shared" si="9"/>
        <v>0</v>
      </c>
      <c r="F28" s="25"/>
      <c r="G28" s="25"/>
      <c r="H28" s="17">
        <f t="shared" si="1"/>
        <v>0</v>
      </c>
      <c r="I28" s="25">
        <v>60.769300000000001</v>
      </c>
      <c r="J28" s="25"/>
      <c r="K28" s="17">
        <f t="shared" si="2"/>
        <v>60.769300000000001</v>
      </c>
      <c r="L28" s="18"/>
      <c r="M28" s="25">
        <v>60.769300000000001</v>
      </c>
      <c r="N28" s="25"/>
      <c r="O28" s="17">
        <f t="shared" si="3"/>
        <v>60.769300000000001</v>
      </c>
      <c r="P28" s="25">
        <v>59.9</v>
      </c>
      <c r="Q28" s="25"/>
      <c r="R28" s="17">
        <f t="shared" si="4"/>
        <v>59.9</v>
      </c>
      <c r="S28" s="25"/>
      <c r="T28" s="25"/>
      <c r="U28" s="17">
        <f t="shared" si="5"/>
        <v>0</v>
      </c>
      <c r="V28" s="18"/>
    </row>
    <row r="29" spans="1:22" ht="25.5" x14ac:dyDescent="0.25">
      <c r="A29" s="23" t="s">
        <v>34</v>
      </c>
      <c r="B29" s="31" t="s">
        <v>44</v>
      </c>
      <c r="C29" s="25">
        <v>1</v>
      </c>
      <c r="D29" s="25"/>
      <c r="E29" s="17">
        <f t="shared" si="0"/>
        <v>1</v>
      </c>
      <c r="F29" s="25">
        <v>1</v>
      </c>
      <c r="G29" s="25"/>
      <c r="H29" s="17">
        <f t="shared" si="1"/>
        <v>1</v>
      </c>
      <c r="I29" s="25">
        <v>2</v>
      </c>
      <c r="J29" s="25"/>
      <c r="K29" s="17">
        <f t="shared" si="2"/>
        <v>2</v>
      </c>
      <c r="L29" s="18">
        <f>K29/E29</f>
        <v>2</v>
      </c>
      <c r="M29" s="25">
        <v>2</v>
      </c>
      <c r="N29" s="25"/>
      <c r="O29" s="17">
        <f t="shared" si="3"/>
        <v>2</v>
      </c>
      <c r="P29" s="25"/>
      <c r="Q29" s="25"/>
      <c r="R29" s="17">
        <f t="shared" si="4"/>
        <v>0</v>
      </c>
      <c r="S29" s="25"/>
      <c r="T29" s="25"/>
      <c r="U29" s="17">
        <f t="shared" si="5"/>
        <v>0</v>
      </c>
      <c r="V29" s="18">
        <f>U29/E29</f>
        <v>0</v>
      </c>
    </row>
    <row r="30" spans="1:22" ht="25.5" x14ac:dyDescent="0.25">
      <c r="A30" s="23" t="s">
        <v>45</v>
      </c>
      <c r="B30" s="31" t="s">
        <v>46</v>
      </c>
      <c r="C30" s="25">
        <v>36337.310689999998</v>
      </c>
      <c r="D30" s="25"/>
      <c r="E30" s="17">
        <f t="shared" si="0"/>
        <v>36337.310689999998</v>
      </c>
      <c r="F30" s="25">
        <v>9500</v>
      </c>
      <c r="G30" s="25"/>
      <c r="H30" s="17">
        <f t="shared" si="1"/>
        <v>9500</v>
      </c>
      <c r="I30" s="25">
        <v>23955.7</v>
      </c>
      <c r="J30" s="25"/>
      <c r="K30" s="17">
        <f t="shared" si="2"/>
        <v>23955.7</v>
      </c>
      <c r="L30" s="18">
        <f>K30/E30</f>
        <v>0.65925902454285346</v>
      </c>
      <c r="M30" s="25">
        <v>22192.854800000001</v>
      </c>
      <c r="N30" s="25"/>
      <c r="O30" s="17">
        <f t="shared" si="3"/>
        <v>22192.854800000001</v>
      </c>
      <c r="P30" s="25">
        <v>24914</v>
      </c>
      <c r="Q30" s="25"/>
      <c r="R30" s="17">
        <f t="shared" si="4"/>
        <v>24914</v>
      </c>
      <c r="S30" s="25">
        <v>0</v>
      </c>
      <c r="T30" s="25"/>
      <c r="U30" s="17">
        <f t="shared" si="5"/>
        <v>0</v>
      </c>
      <c r="V30" s="18">
        <f>U30/E30</f>
        <v>0</v>
      </c>
    </row>
    <row r="31" spans="1:22" ht="25.5" x14ac:dyDescent="0.25">
      <c r="A31" s="23" t="s">
        <v>47</v>
      </c>
      <c r="B31" s="31" t="s">
        <v>48</v>
      </c>
      <c r="C31" s="25">
        <f>572.23803+1635.65427+7510.63278+1283.13422</f>
        <v>11001.659299999999</v>
      </c>
      <c r="D31" s="25">
        <v>1274.1709000000001</v>
      </c>
      <c r="E31" s="17">
        <f t="shared" si="0"/>
        <v>9727.4883999999984</v>
      </c>
      <c r="F31" s="25">
        <v>2114.4</v>
      </c>
      <c r="G31" s="25"/>
      <c r="H31" s="17">
        <f t="shared" si="1"/>
        <v>2114.4</v>
      </c>
      <c r="I31" s="25">
        <v>5528.67</v>
      </c>
      <c r="J31" s="25">
        <v>211.66788</v>
      </c>
      <c r="K31" s="17">
        <f t="shared" si="2"/>
        <v>5317.0021200000001</v>
      </c>
      <c r="L31" s="18">
        <f>K31/E31</f>
        <v>0.54659557548277327</v>
      </c>
      <c r="M31" s="25">
        <v>10106.430899999999</v>
      </c>
      <c r="N31" s="25">
        <v>1545.5074</v>
      </c>
      <c r="O31" s="17">
        <f t="shared" si="3"/>
        <v>8560.923499999999</v>
      </c>
      <c r="P31" s="25">
        <v>3192.8</v>
      </c>
      <c r="Q31" s="25"/>
      <c r="R31" s="17">
        <f t="shared" si="4"/>
        <v>3192.8</v>
      </c>
      <c r="S31" s="25">
        <v>100</v>
      </c>
      <c r="T31" s="25"/>
      <c r="U31" s="17">
        <f t="shared" si="5"/>
        <v>100</v>
      </c>
      <c r="V31" s="18">
        <f>U31/E31</f>
        <v>1.0280145900765095E-2</v>
      </c>
    </row>
    <row r="32" spans="1:22" ht="25.5" x14ac:dyDescent="0.25">
      <c r="A32" s="23" t="s">
        <v>49</v>
      </c>
      <c r="B32" s="31" t="s">
        <v>50</v>
      </c>
      <c r="C32" s="25">
        <v>14967.880380000001</v>
      </c>
      <c r="D32" s="25"/>
      <c r="E32" s="17">
        <f t="shared" si="0"/>
        <v>14967.880380000001</v>
      </c>
      <c r="F32" s="25">
        <v>6002.1</v>
      </c>
      <c r="G32" s="25"/>
      <c r="H32" s="17">
        <f t="shared" si="1"/>
        <v>6002.1</v>
      </c>
      <c r="I32" s="25">
        <v>11539.98035</v>
      </c>
      <c r="J32" s="25"/>
      <c r="K32" s="17">
        <f t="shared" si="2"/>
        <v>11539.98035</v>
      </c>
      <c r="L32" s="18">
        <f>K32/E32</f>
        <v>0.77098293526047001</v>
      </c>
      <c r="M32" s="25">
        <v>14070.86089</v>
      </c>
      <c r="N32" s="25"/>
      <c r="O32" s="17">
        <f t="shared" si="3"/>
        <v>14070.86089</v>
      </c>
      <c r="P32" s="25">
        <v>6194.5</v>
      </c>
      <c r="Q32" s="25"/>
      <c r="R32" s="17">
        <f t="shared" si="4"/>
        <v>6194.5</v>
      </c>
      <c r="S32" s="25">
        <v>500</v>
      </c>
      <c r="T32" s="25"/>
      <c r="U32" s="17">
        <f t="shared" si="5"/>
        <v>500</v>
      </c>
      <c r="V32" s="18">
        <f>U32/E32</f>
        <v>3.3404863434644848E-2</v>
      </c>
    </row>
    <row r="33" spans="1:22" x14ac:dyDescent="0.25">
      <c r="A33" s="23" t="s">
        <v>51</v>
      </c>
      <c r="B33" s="31" t="s">
        <v>52</v>
      </c>
      <c r="C33" s="25">
        <f>2879.70991+963.49249+860.29155+30+3.05673</f>
        <v>4736.5506800000003</v>
      </c>
      <c r="D33" s="25">
        <v>35.735790000000001</v>
      </c>
      <c r="E33" s="17">
        <f t="shared" si="0"/>
        <v>4700.8148900000006</v>
      </c>
      <c r="F33" s="25">
        <v>526.53899999999999</v>
      </c>
      <c r="G33" s="25"/>
      <c r="H33" s="17">
        <f t="shared" si="1"/>
        <v>526.53899999999999</v>
      </c>
      <c r="I33" s="25">
        <v>2379.19002</v>
      </c>
      <c r="J33" s="25">
        <v>101.52482999999999</v>
      </c>
      <c r="K33" s="17">
        <f t="shared" si="2"/>
        <v>2277.6651900000002</v>
      </c>
      <c r="L33" s="18">
        <f>K33/E33</f>
        <v>0.4845256074314383</v>
      </c>
      <c r="M33" s="25">
        <v>2483.4390600000002</v>
      </c>
      <c r="N33" s="25">
        <v>104.60899000000001</v>
      </c>
      <c r="O33" s="17">
        <f t="shared" si="3"/>
        <v>2378.83007</v>
      </c>
      <c r="P33" s="25">
        <v>703.5</v>
      </c>
      <c r="Q33" s="25"/>
      <c r="R33" s="17">
        <f t="shared" si="4"/>
        <v>703.5</v>
      </c>
      <c r="S33" s="25">
        <v>0</v>
      </c>
      <c r="T33" s="25"/>
      <c r="U33" s="17">
        <f t="shared" si="5"/>
        <v>0</v>
      </c>
      <c r="V33" s="18">
        <f>U33/E33</f>
        <v>0</v>
      </c>
    </row>
    <row r="34" spans="1:22" x14ac:dyDescent="0.25">
      <c r="A34" s="32"/>
      <c r="B34" s="33" t="s">
        <v>7</v>
      </c>
      <c r="C34" s="34"/>
      <c r="D34" s="34"/>
      <c r="E34" s="35"/>
      <c r="F34" s="34"/>
      <c r="G34" s="34"/>
      <c r="H34" s="35"/>
      <c r="I34" s="34"/>
      <c r="J34" s="34"/>
      <c r="K34" s="35"/>
      <c r="L34" s="36"/>
      <c r="M34" s="34"/>
      <c r="N34" s="34"/>
      <c r="O34" s="35"/>
      <c r="P34" s="34"/>
      <c r="Q34" s="34"/>
      <c r="R34" s="35"/>
      <c r="S34" s="34"/>
      <c r="T34" s="34"/>
      <c r="U34" s="35"/>
      <c r="V34" s="36"/>
    </row>
    <row r="35" spans="1:22" ht="38.25" x14ac:dyDescent="0.25">
      <c r="A35" s="23"/>
      <c r="B35" s="31" t="s">
        <v>53</v>
      </c>
      <c r="C35" s="25"/>
      <c r="D35" s="25"/>
      <c r="E35" s="17">
        <f t="shared" ref="E35" si="10">C35-D35</f>
        <v>0</v>
      </c>
      <c r="F35" s="25"/>
      <c r="G35" s="25"/>
      <c r="H35" s="17">
        <f t="shared" ref="H35" si="11">F35-G35</f>
        <v>0</v>
      </c>
      <c r="I35" s="25"/>
      <c r="J35" s="25"/>
      <c r="K35" s="17">
        <f t="shared" ref="K35" si="12">I35-J35</f>
        <v>0</v>
      </c>
      <c r="L35" s="18" t="e">
        <f t="shared" ref="L35:L53" si="13">K35/E35</f>
        <v>#DIV/0!</v>
      </c>
      <c r="M35" s="25"/>
      <c r="N35" s="25"/>
      <c r="O35" s="17">
        <f t="shared" ref="O35" si="14">M35-N35</f>
        <v>0</v>
      </c>
      <c r="P35" s="25"/>
      <c r="Q35" s="25"/>
      <c r="R35" s="17">
        <f t="shared" ref="R35" si="15">P35-Q35</f>
        <v>0</v>
      </c>
      <c r="S35" s="25"/>
      <c r="T35" s="25"/>
      <c r="U35" s="17">
        <f t="shared" ref="U35" si="16">S35-T35</f>
        <v>0</v>
      </c>
      <c r="V35" s="18" t="e">
        <f t="shared" ref="V35:V53" si="17">U35/E35</f>
        <v>#DIV/0!</v>
      </c>
    </row>
    <row r="36" spans="1:22" x14ac:dyDescent="0.25">
      <c r="A36" s="23" t="s">
        <v>54</v>
      </c>
      <c r="B36" s="24" t="s">
        <v>55</v>
      </c>
      <c r="C36" s="25">
        <f>-319.93704+47.26573</f>
        <v>-272.67131000000001</v>
      </c>
      <c r="D36" s="25">
        <v>564</v>
      </c>
      <c r="E36" s="17">
        <f t="shared" si="0"/>
        <v>-836.67130999999995</v>
      </c>
      <c r="F36" s="25"/>
      <c r="G36" s="25"/>
      <c r="H36" s="17">
        <f t="shared" si="1"/>
        <v>0</v>
      </c>
      <c r="I36" s="25">
        <v>235</v>
      </c>
      <c r="J36" s="25">
        <v>235</v>
      </c>
      <c r="K36" s="17">
        <f t="shared" si="2"/>
        <v>0</v>
      </c>
      <c r="L36" s="18">
        <f t="shared" si="13"/>
        <v>0</v>
      </c>
      <c r="M36" s="25">
        <v>302.49918000000002</v>
      </c>
      <c r="N36" s="25">
        <v>235</v>
      </c>
      <c r="O36" s="17">
        <f t="shared" si="3"/>
        <v>67.499180000000024</v>
      </c>
      <c r="P36" s="25"/>
      <c r="Q36" s="25"/>
      <c r="R36" s="17">
        <f t="shared" si="4"/>
        <v>0</v>
      </c>
      <c r="S36" s="25"/>
      <c r="T36" s="25"/>
      <c r="U36" s="17">
        <f t="shared" si="5"/>
        <v>0</v>
      </c>
      <c r="V36" s="18">
        <f t="shared" si="17"/>
        <v>0</v>
      </c>
    </row>
    <row r="37" spans="1:22" x14ac:dyDescent="0.25">
      <c r="A37" s="37" t="s">
        <v>56</v>
      </c>
      <c r="B37" s="15" t="s">
        <v>57</v>
      </c>
      <c r="C37" s="16">
        <f>C38+C47+C49+C48</f>
        <v>2298663.7610499999</v>
      </c>
      <c r="D37" s="16">
        <f>D38+D47+D49+D48</f>
        <v>1952682.7277000002</v>
      </c>
      <c r="E37" s="29">
        <f t="shared" si="0"/>
        <v>345981.03334999969</v>
      </c>
      <c r="F37" s="16">
        <f>F38+F47+F49+F48</f>
        <v>2065702.7926400001</v>
      </c>
      <c r="G37" s="16">
        <f>G38+G47+G49+G48</f>
        <v>1741913.41864</v>
      </c>
      <c r="H37" s="29">
        <f t="shared" si="1"/>
        <v>323789.37400000007</v>
      </c>
      <c r="I37" s="16">
        <f>I38+I47+I49+I48</f>
        <v>2095422.6140099999</v>
      </c>
      <c r="J37" s="16">
        <f>J38+J47+J49+J48</f>
        <v>1737061.3249899999</v>
      </c>
      <c r="K37" s="29">
        <f t="shared" si="2"/>
        <v>358361.28902000003</v>
      </c>
      <c r="L37" s="30">
        <f t="shared" si="13"/>
        <v>1.0357830472674388</v>
      </c>
      <c r="M37" s="16">
        <f>M38+M47+M49+M48</f>
        <v>2056031.1936999999</v>
      </c>
      <c r="N37" s="16">
        <f>N38+N47+N49+N48</f>
        <v>1697621.4310699999</v>
      </c>
      <c r="O37" s="29">
        <f t="shared" si="3"/>
        <v>358409.76263000001</v>
      </c>
      <c r="P37" s="16">
        <f>P38+P47+P49+P48</f>
        <v>2085193.01985</v>
      </c>
      <c r="Q37" s="16">
        <f>Q38+Q47+Q49+Q48</f>
        <v>1804128.5594499998</v>
      </c>
      <c r="R37" s="29">
        <f t="shared" si="4"/>
        <v>281064.46040000021</v>
      </c>
      <c r="S37" s="16">
        <f>S38+S47+S49+S48</f>
        <v>36556.400000000001</v>
      </c>
      <c r="T37" s="16">
        <f>T38+T47+T49+T48</f>
        <v>36556.400000000001</v>
      </c>
      <c r="U37" s="29">
        <f t="shared" si="5"/>
        <v>0</v>
      </c>
      <c r="V37" s="30">
        <f t="shared" si="17"/>
        <v>0</v>
      </c>
    </row>
    <row r="38" spans="1:22" ht="26.25" x14ac:dyDescent="0.25">
      <c r="A38" s="23" t="s">
        <v>58</v>
      </c>
      <c r="B38" s="24" t="s">
        <v>59</v>
      </c>
      <c r="C38" s="38">
        <f>C39+C43+C45+C46</f>
        <v>2294910.2725399998</v>
      </c>
      <c r="D38" s="38">
        <f>D39+D43+D45+D46</f>
        <v>1951104.6665400001</v>
      </c>
      <c r="E38" s="17">
        <f t="shared" si="0"/>
        <v>343805.60599999968</v>
      </c>
      <c r="F38" s="38">
        <f>F39+F43+F45+F46</f>
        <v>2065702.7926400001</v>
      </c>
      <c r="G38" s="38">
        <f>G39+G43+G45+G46</f>
        <v>1741913.41864</v>
      </c>
      <c r="H38" s="17">
        <f t="shared" si="1"/>
        <v>323789.37400000007</v>
      </c>
      <c r="I38" s="38">
        <f>I39+I43+I45+I46</f>
        <v>2051828.20899</v>
      </c>
      <c r="J38" s="38">
        <f>J39+J43+J45+J46</f>
        <v>1705538.8649899999</v>
      </c>
      <c r="K38" s="17">
        <f t="shared" si="2"/>
        <v>346289.34400000004</v>
      </c>
      <c r="L38" s="18">
        <f t="shared" si="13"/>
        <v>1.0072242510205036</v>
      </c>
      <c r="M38" s="38">
        <f>M39+M43+M45+M46</f>
        <v>2014384.6881200001</v>
      </c>
      <c r="N38" s="38">
        <f>N39+N43+N45+N46</f>
        <v>1668095.34412</v>
      </c>
      <c r="O38" s="17">
        <f t="shared" si="3"/>
        <v>346289.34400000004</v>
      </c>
      <c r="P38" s="38">
        <f>P39+P43+P45+P46</f>
        <v>2085193.01985</v>
      </c>
      <c r="Q38" s="38">
        <f>Q39+Q43+Q45+Q46</f>
        <v>1804128.5594499998</v>
      </c>
      <c r="R38" s="17">
        <f t="shared" si="4"/>
        <v>281064.46040000021</v>
      </c>
      <c r="S38" s="38">
        <f>S39+S43+S45+S46</f>
        <v>36556.400000000001</v>
      </c>
      <c r="T38" s="38">
        <f>T39+T43+T45+T46</f>
        <v>36556.400000000001</v>
      </c>
      <c r="U38" s="17">
        <f t="shared" si="5"/>
        <v>0</v>
      </c>
      <c r="V38" s="18">
        <f t="shared" si="17"/>
        <v>0</v>
      </c>
    </row>
    <row r="39" spans="1:22" x14ac:dyDescent="0.25">
      <c r="A39" s="23" t="s">
        <v>18</v>
      </c>
      <c r="B39" s="24" t="s">
        <v>60</v>
      </c>
      <c r="C39" s="25">
        <f>C40+C41+C42</f>
        <v>343805.60599999997</v>
      </c>
      <c r="D39" s="39"/>
      <c r="E39" s="17">
        <f>C39-D39</f>
        <v>343805.60599999997</v>
      </c>
      <c r="F39" s="25">
        <f>F40+F41+F42</f>
        <v>323789.37400000001</v>
      </c>
      <c r="G39" s="39"/>
      <c r="H39" s="17">
        <f>F39-G39</f>
        <v>323789.37400000001</v>
      </c>
      <c r="I39" s="25">
        <f>I40+I41</f>
        <v>346289.34399999998</v>
      </c>
      <c r="J39" s="39"/>
      <c r="K39" s="17">
        <f>I39-J39</f>
        <v>346289.34399999998</v>
      </c>
      <c r="L39" s="18">
        <f t="shared" si="13"/>
        <v>1.0072242510205025</v>
      </c>
      <c r="M39" s="25">
        <f>M40+M41</f>
        <v>346289.34399999998</v>
      </c>
      <c r="N39" s="39"/>
      <c r="O39" s="17">
        <f>M39-N39</f>
        <v>346289.34399999998</v>
      </c>
      <c r="P39" s="25">
        <f>P40+P41</f>
        <v>281064.46039999998</v>
      </c>
      <c r="Q39" s="39"/>
      <c r="R39" s="17">
        <f>P39-Q39</f>
        <v>281064.46039999998</v>
      </c>
      <c r="S39" s="25">
        <f>S40+S41+S42</f>
        <v>0</v>
      </c>
      <c r="T39" s="39"/>
      <c r="U39" s="17">
        <f>S39-T39</f>
        <v>0</v>
      </c>
      <c r="V39" s="18">
        <f t="shared" si="17"/>
        <v>0</v>
      </c>
    </row>
    <row r="40" spans="1:22" x14ac:dyDescent="0.25">
      <c r="A40" s="23"/>
      <c r="B40" s="24" t="s">
        <v>61</v>
      </c>
      <c r="C40" s="25">
        <v>250993.54699999999</v>
      </c>
      <c r="D40" s="39"/>
      <c r="E40" s="17">
        <f>C40-D40</f>
        <v>250993.54699999999</v>
      </c>
      <c r="F40" s="25">
        <v>255091.94899999999</v>
      </c>
      <c r="G40" s="39"/>
      <c r="H40" s="17">
        <f t="shared" si="1"/>
        <v>255091.94899999999</v>
      </c>
      <c r="I40" s="25">
        <v>255091.94899999999</v>
      </c>
      <c r="J40" s="39"/>
      <c r="K40" s="17">
        <f t="shared" si="2"/>
        <v>255091.94899999999</v>
      </c>
      <c r="L40" s="18">
        <f t="shared" si="13"/>
        <v>1.0163287146183084</v>
      </c>
      <c r="M40" s="25">
        <f>I40</f>
        <v>255091.94899999999</v>
      </c>
      <c r="N40" s="39"/>
      <c r="O40" s="17">
        <f t="shared" si="3"/>
        <v>255091.94899999999</v>
      </c>
      <c r="P40" s="25">
        <v>240840.44</v>
      </c>
      <c r="Q40" s="39"/>
      <c r="R40" s="17">
        <f t="shared" si="4"/>
        <v>240840.44</v>
      </c>
      <c r="S40" s="25">
        <v>0</v>
      </c>
      <c r="T40" s="39"/>
      <c r="U40" s="17">
        <f t="shared" si="5"/>
        <v>0</v>
      </c>
      <c r="V40" s="18">
        <f t="shared" si="17"/>
        <v>0</v>
      </c>
    </row>
    <row r="41" spans="1:22" x14ac:dyDescent="0.25">
      <c r="A41" s="23"/>
      <c r="B41" s="24" t="s">
        <v>62</v>
      </c>
      <c r="C41" s="25">
        <v>92812.058999999994</v>
      </c>
      <c r="D41" s="39"/>
      <c r="E41" s="17">
        <f t="shared" si="0"/>
        <v>92812.058999999994</v>
      </c>
      <c r="F41" s="25">
        <v>68697.425000000003</v>
      </c>
      <c r="G41" s="39"/>
      <c r="H41" s="17">
        <f t="shared" si="1"/>
        <v>68697.425000000003</v>
      </c>
      <c r="I41" s="25">
        <v>91197.395000000004</v>
      </c>
      <c r="J41" s="39"/>
      <c r="K41" s="17">
        <f t="shared" si="2"/>
        <v>91197.395000000004</v>
      </c>
      <c r="L41" s="18">
        <f t="shared" si="13"/>
        <v>0.98260286413859232</v>
      </c>
      <c r="M41" s="25">
        <f>I41</f>
        <v>91197.395000000004</v>
      </c>
      <c r="N41" s="39"/>
      <c r="O41" s="17">
        <f t="shared" si="3"/>
        <v>91197.395000000004</v>
      </c>
      <c r="P41" s="25">
        <v>40224.020400000001</v>
      </c>
      <c r="Q41" s="39"/>
      <c r="R41" s="17">
        <f t="shared" si="4"/>
        <v>40224.020400000001</v>
      </c>
      <c r="S41" s="25">
        <v>0</v>
      </c>
      <c r="T41" s="39"/>
      <c r="U41" s="17">
        <f t="shared" si="5"/>
        <v>0</v>
      </c>
      <c r="V41" s="18">
        <f t="shared" si="17"/>
        <v>0</v>
      </c>
    </row>
    <row r="42" spans="1:22" x14ac:dyDescent="0.25">
      <c r="A42" s="23"/>
      <c r="B42" s="24" t="s">
        <v>63</v>
      </c>
      <c r="C42" s="25"/>
      <c r="D42" s="39"/>
      <c r="E42" s="17">
        <f t="shared" si="0"/>
        <v>0</v>
      </c>
      <c r="F42" s="25"/>
      <c r="G42" s="39"/>
      <c r="H42" s="17">
        <f t="shared" si="1"/>
        <v>0</v>
      </c>
      <c r="I42" s="25"/>
      <c r="J42" s="39"/>
      <c r="K42" s="17">
        <f t="shared" si="2"/>
        <v>0</v>
      </c>
      <c r="L42" s="18" t="e">
        <f t="shared" si="13"/>
        <v>#DIV/0!</v>
      </c>
      <c r="M42" s="25"/>
      <c r="N42" s="39"/>
      <c r="O42" s="17">
        <f t="shared" si="3"/>
        <v>0</v>
      </c>
      <c r="P42" s="25"/>
      <c r="Q42" s="39"/>
      <c r="R42" s="17">
        <f t="shared" si="4"/>
        <v>0</v>
      </c>
      <c r="S42" s="25"/>
      <c r="T42" s="39"/>
      <c r="U42" s="17">
        <f t="shared" si="5"/>
        <v>0</v>
      </c>
      <c r="V42" s="18" t="e">
        <f t="shared" si="17"/>
        <v>#DIV/0!</v>
      </c>
    </row>
    <row r="43" spans="1:22" x14ac:dyDescent="0.25">
      <c r="A43" s="23" t="s">
        <v>20</v>
      </c>
      <c r="B43" s="24" t="s">
        <v>64</v>
      </c>
      <c r="C43" s="25">
        <v>952529.61693999998</v>
      </c>
      <c r="D43" s="39">
        <f>C43</f>
        <v>952529.61693999998</v>
      </c>
      <c r="E43" s="17">
        <f t="shared" si="0"/>
        <v>0</v>
      </c>
      <c r="F43" s="25">
        <v>715284.01126000006</v>
      </c>
      <c r="G43" s="39">
        <f>F43</f>
        <v>715284.01126000006</v>
      </c>
      <c r="H43" s="17">
        <f t="shared" si="1"/>
        <v>0</v>
      </c>
      <c r="I43" s="25">
        <v>652877.60704999999</v>
      </c>
      <c r="J43" s="39">
        <f t="shared" ref="J43:J49" si="18">I43</f>
        <v>652877.60704999999</v>
      </c>
      <c r="K43" s="17">
        <f t="shared" si="2"/>
        <v>0</v>
      </c>
      <c r="L43" s="18" t="e">
        <f t="shared" si="13"/>
        <v>#DIV/0!</v>
      </c>
      <c r="M43" s="25">
        <v>641491.73563000001</v>
      </c>
      <c r="N43" s="39">
        <f>M43</f>
        <v>641491.73563000001</v>
      </c>
      <c r="O43" s="17">
        <f t="shared" si="3"/>
        <v>0</v>
      </c>
      <c r="P43" s="25">
        <v>607345.67221999995</v>
      </c>
      <c r="Q43" s="39">
        <f>P43</f>
        <v>607345.67221999995</v>
      </c>
      <c r="R43" s="17">
        <f t="shared" si="4"/>
        <v>0</v>
      </c>
      <c r="S43" s="25">
        <f>3100+19831</f>
        <v>22931</v>
      </c>
      <c r="T43" s="25">
        <f>S43</f>
        <v>22931</v>
      </c>
      <c r="U43" s="17">
        <f t="shared" si="5"/>
        <v>0</v>
      </c>
      <c r="V43" s="18" t="e">
        <f t="shared" si="17"/>
        <v>#DIV/0!</v>
      </c>
    </row>
    <row r="44" spans="1:22" x14ac:dyDescent="0.25">
      <c r="A44" s="23"/>
      <c r="B44" s="24" t="s">
        <v>65</v>
      </c>
      <c r="C44" s="25">
        <v>354414.20629</v>
      </c>
      <c r="D44" s="39">
        <f t="shared" ref="D44:D47" si="19">C44</f>
        <v>354414.20629</v>
      </c>
      <c r="E44" s="17">
        <f t="shared" si="0"/>
        <v>0</v>
      </c>
      <c r="F44" s="25">
        <v>319172.28665999998</v>
      </c>
      <c r="G44" s="39">
        <f t="shared" ref="G44:G47" si="20">F44</f>
        <v>319172.28665999998</v>
      </c>
      <c r="H44" s="17">
        <f t="shared" si="1"/>
        <v>0</v>
      </c>
      <c r="I44" s="25">
        <v>157746.00096999999</v>
      </c>
      <c r="J44" s="39">
        <f t="shared" si="18"/>
        <v>157746.00096999999</v>
      </c>
      <c r="K44" s="17">
        <f t="shared" si="2"/>
        <v>0</v>
      </c>
      <c r="L44" s="18" t="e">
        <f t="shared" si="13"/>
        <v>#DIV/0!</v>
      </c>
      <c r="M44" s="25">
        <v>157746.00096999999</v>
      </c>
      <c r="N44" s="39">
        <f t="shared" ref="N44:N47" si="21">M44</f>
        <v>157746.00096999999</v>
      </c>
      <c r="O44" s="17">
        <f t="shared" si="3"/>
        <v>0</v>
      </c>
      <c r="P44" s="25">
        <v>50741.683369999999</v>
      </c>
      <c r="Q44" s="39">
        <f>P44</f>
        <v>50741.683369999999</v>
      </c>
      <c r="R44" s="17">
        <f t="shared" si="4"/>
        <v>0</v>
      </c>
      <c r="S44" s="25">
        <v>0</v>
      </c>
      <c r="T44" s="25">
        <f t="shared" ref="T44:T46" si="22">S44</f>
        <v>0</v>
      </c>
      <c r="U44" s="17">
        <f t="shared" si="5"/>
        <v>0</v>
      </c>
      <c r="V44" s="18" t="e">
        <f t="shared" si="17"/>
        <v>#DIV/0!</v>
      </c>
    </row>
    <row r="45" spans="1:22" x14ac:dyDescent="0.25">
      <c r="A45" s="23" t="s">
        <v>22</v>
      </c>
      <c r="B45" s="24" t="s">
        <v>66</v>
      </c>
      <c r="C45" s="25">
        <v>940309.48539000005</v>
      </c>
      <c r="D45" s="39">
        <f t="shared" si="19"/>
        <v>940309.48539000005</v>
      </c>
      <c r="E45" s="17">
        <f t="shared" si="0"/>
        <v>0</v>
      </c>
      <c r="F45" s="25">
        <v>988479.10737999994</v>
      </c>
      <c r="G45" s="39">
        <f>F45</f>
        <v>988479.10737999994</v>
      </c>
      <c r="H45" s="17">
        <f t="shared" si="1"/>
        <v>0</v>
      </c>
      <c r="I45" s="25">
        <v>995030.09693999996</v>
      </c>
      <c r="J45" s="39">
        <f t="shared" si="18"/>
        <v>995030.09693999996</v>
      </c>
      <c r="K45" s="17">
        <f t="shared" si="2"/>
        <v>0</v>
      </c>
      <c r="L45" s="18" t="e">
        <f t="shared" si="13"/>
        <v>#DIV/0!</v>
      </c>
      <c r="M45" s="25">
        <v>976179.08403000003</v>
      </c>
      <c r="N45" s="39">
        <f t="shared" si="21"/>
        <v>976179.08403000003</v>
      </c>
      <c r="O45" s="17">
        <f t="shared" si="3"/>
        <v>0</v>
      </c>
      <c r="P45" s="25">
        <v>1144499.0872299999</v>
      </c>
      <c r="Q45" s="39">
        <f>P45</f>
        <v>1144499.0872299999</v>
      </c>
      <c r="R45" s="17">
        <f t="shared" si="4"/>
        <v>0</v>
      </c>
      <c r="S45" s="25">
        <f>642+240.1+245+2557+9514.3</f>
        <v>13198.4</v>
      </c>
      <c r="T45" s="25">
        <f t="shared" si="22"/>
        <v>13198.4</v>
      </c>
      <c r="U45" s="17">
        <f t="shared" si="5"/>
        <v>0</v>
      </c>
      <c r="V45" s="18" t="e">
        <f t="shared" si="17"/>
        <v>#DIV/0!</v>
      </c>
    </row>
    <row r="46" spans="1:22" x14ac:dyDescent="0.25">
      <c r="A46" s="23" t="s">
        <v>28</v>
      </c>
      <c r="B46" s="24" t="s">
        <v>67</v>
      </c>
      <c r="C46" s="25">
        <v>58265.564209999997</v>
      </c>
      <c r="D46" s="39">
        <f t="shared" si="19"/>
        <v>58265.564209999997</v>
      </c>
      <c r="E46" s="17">
        <f t="shared" si="0"/>
        <v>0</v>
      </c>
      <c r="F46" s="25">
        <v>38150.300000000003</v>
      </c>
      <c r="G46" s="39">
        <f t="shared" si="20"/>
        <v>38150.300000000003</v>
      </c>
      <c r="H46" s="17">
        <f t="shared" si="1"/>
        <v>0</v>
      </c>
      <c r="I46" s="25">
        <v>57631.161</v>
      </c>
      <c r="J46" s="39">
        <f t="shared" si="18"/>
        <v>57631.161</v>
      </c>
      <c r="K46" s="17">
        <f t="shared" si="2"/>
        <v>0</v>
      </c>
      <c r="L46" s="18" t="e">
        <f t="shared" si="13"/>
        <v>#DIV/0!</v>
      </c>
      <c r="M46" s="25">
        <v>50424.524460000001</v>
      </c>
      <c r="N46" s="39">
        <f t="shared" si="21"/>
        <v>50424.524460000001</v>
      </c>
      <c r="O46" s="17">
        <f t="shared" si="3"/>
        <v>0</v>
      </c>
      <c r="P46" s="25">
        <v>52283.8</v>
      </c>
      <c r="Q46" s="39">
        <f>P46</f>
        <v>52283.8</v>
      </c>
      <c r="R46" s="17">
        <f t="shared" si="4"/>
        <v>0</v>
      </c>
      <c r="S46" s="25">
        <v>427</v>
      </c>
      <c r="T46" s="25">
        <f t="shared" si="22"/>
        <v>427</v>
      </c>
      <c r="U46" s="17">
        <f t="shared" si="5"/>
        <v>0</v>
      </c>
      <c r="V46" s="18" t="e">
        <f t="shared" si="17"/>
        <v>#DIV/0!</v>
      </c>
    </row>
    <row r="47" spans="1:22" x14ac:dyDescent="0.25">
      <c r="A47" s="23" t="s">
        <v>68</v>
      </c>
      <c r="B47" s="24" t="s">
        <v>69</v>
      </c>
      <c r="C47" s="25">
        <v>4455.1210000000001</v>
      </c>
      <c r="D47" s="39">
        <f t="shared" si="19"/>
        <v>4455.1210000000001</v>
      </c>
      <c r="E47" s="17">
        <f>C47-D47</f>
        <v>0</v>
      </c>
      <c r="F47" s="25">
        <v>0</v>
      </c>
      <c r="G47" s="39">
        <f t="shared" si="20"/>
        <v>0</v>
      </c>
      <c r="H47" s="17">
        <f t="shared" si="1"/>
        <v>0</v>
      </c>
      <c r="I47" s="25">
        <v>31522.46</v>
      </c>
      <c r="J47" s="161">
        <f t="shared" si="18"/>
        <v>31522.46</v>
      </c>
      <c r="K47" s="17">
        <f t="shared" si="2"/>
        <v>0</v>
      </c>
      <c r="L47" s="18" t="e">
        <f t="shared" si="13"/>
        <v>#DIV/0!</v>
      </c>
      <c r="M47" s="25">
        <v>31522.46</v>
      </c>
      <c r="N47" s="39">
        <f t="shared" si="21"/>
        <v>31522.46</v>
      </c>
      <c r="O47" s="17">
        <f t="shared" si="3"/>
        <v>0</v>
      </c>
      <c r="P47" s="25"/>
      <c r="Q47" s="25">
        <f>P47</f>
        <v>0</v>
      </c>
      <c r="R47" s="17">
        <f t="shared" si="4"/>
        <v>0</v>
      </c>
      <c r="S47" s="25"/>
      <c r="T47" s="25">
        <f>S47</f>
        <v>0</v>
      </c>
      <c r="U47" s="17">
        <f t="shared" si="5"/>
        <v>0</v>
      </c>
      <c r="V47" s="18" t="e">
        <f t="shared" si="17"/>
        <v>#DIV/0!</v>
      </c>
    </row>
    <row r="48" spans="1:22" ht="51.75" x14ac:dyDescent="0.25">
      <c r="A48" s="23" t="s">
        <v>70</v>
      </c>
      <c r="B48" s="24" t="s">
        <v>71</v>
      </c>
      <c r="C48" s="25">
        <f>4133.52635+2516.74249</f>
        <v>6650.2688400000006</v>
      </c>
      <c r="D48" s="25">
        <v>4474.8414899999998</v>
      </c>
      <c r="E48" s="17">
        <f>C48-D48</f>
        <v>2175.4273500000008</v>
      </c>
      <c r="F48" s="25"/>
      <c r="G48" s="39"/>
      <c r="H48" s="17">
        <f t="shared" si="1"/>
        <v>0</v>
      </c>
      <c r="I48" s="25">
        <v>12071.945019999999</v>
      </c>
      <c r="J48" s="25"/>
      <c r="K48" s="17">
        <f t="shared" si="2"/>
        <v>12071.945019999999</v>
      </c>
      <c r="L48" s="18">
        <f t="shared" si="13"/>
        <v>5.5492292215596146</v>
      </c>
      <c r="M48" s="25">
        <v>14464.607900000001</v>
      </c>
      <c r="N48" s="39">
        <v>2344.1892699999999</v>
      </c>
      <c r="O48" s="17">
        <f t="shared" si="3"/>
        <v>12120.41863</v>
      </c>
      <c r="P48" s="25">
        <v>0</v>
      </c>
      <c r="Q48" s="25">
        <v>0</v>
      </c>
      <c r="R48" s="17">
        <f t="shared" si="4"/>
        <v>0</v>
      </c>
      <c r="S48" s="25"/>
      <c r="T48" s="25"/>
      <c r="U48" s="17">
        <f t="shared" si="5"/>
        <v>0</v>
      </c>
      <c r="V48" s="18">
        <f t="shared" si="17"/>
        <v>0</v>
      </c>
    </row>
    <row r="49" spans="1:22" ht="39" x14ac:dyDescent="0.25">
      <c r="A49" s="23" t="s">
        <v>72</v>
      </c>
      <c r="B49" s="24" t="s">
        <v>73</v>
      </c>
      <c r="C49" s="25">
        <f>-7351.90133</f>
        <v>-7351.9013299999997</v>
      </c>
      <c r="D49" s="25">
        <v>-7351.9013299999997</v>
      </c>
      <c r="E49" s="17">
        <f t="shared" si="0"/>
        <v>0</v>
      </c>
      <c r="F49" s="25"/>
      <c r="G49" s="39"/>
      <c r="H49" s="17">
        <f t="shared" si="1"/>
        <v>0</v>
      </c>
      <c r="I49" s="25">
        <v>0</v>
      </c>
      <c r="J49" s="25">
        <f t="shared" si="18"/>
        <v>0</v>
      </c>
      <c r="K49" s="17">
        <f t="shared" si="2"/>
        <v>0</v>
      </c>
      <c r="L49" s="18" t="e">
        <f t="shared" si="13"/>
        <v>#DIV/0!</v>
      </c>
      <c r="M49" s="25">
        <v>-4340.56232</v>
      </c>
      <c r="N49" s="39">
        <v>-4340.56232</v>
      </c>
      <c r="O49" s="17">
        <f t="shared" si="3"/>
        <v>0</v>
      </c>
      <c r="P49" s="25">
        <v>0</v>
      </c>
      <c r="Q49" s="25">
        <v>0</v>
      </c>
      <c r="R49" s="17">
        <f t="shared" si="4"/>
        <v>0</v>
      </c>
      <c r="S49" s="25"/>
      <c r="T49" s="25"/>
      <c r="U49" s="17">
        <f t="shared" si="5"/>
        <v>0</v>
      </c>
      <c r="V49" s="18" t="e">
        <f t="shared" si="17"/>
        <v>#DIV/0!</v>
      </c>
    </row>
    <row r="50" spans="1:22" x14ac:dyDescent="0.25">
      <c r="A50" s="40"/>
      <c r="B50" s="41" t="s">
        <v>74</v>
      </c>
      <c r="C50" s="17">
        <f>C6</f>
        <v>3373105.6049599997</v>
      </c>
      <c r="D50" s="17">
        <f>D6</f>
        <v>1954556.6343900003</v>
      </c>
      <c r="E50" s="17">
        <f>E6</f>
        <v>1418548.9705699994</v>
      </c>
      <c r="F50" s="17">
        <f>F6</f>
        <v>3048860.58164</v>
      </c>
      <c r="G50" s="17">
        <f t="shared" ref="G50:H50" si="23">G6</f>
        <v>1741913.41864</v>
      </c>
      <c r="H50" s="17">
        <f t="shared" si="23"/>
        <v>1306947.1629999999</v>
      </c>
      <c r="I50" s="17">
        <f>I6</f>
        <v>3227956.3054499999</v>
      </c>
      <c r="J50" s="17">
        <f t="shared" ref="J50:K50" si="24">J6</f>
        <v>1737609.5177</v>
      </c>
      <c r="K50" s="17">
        <f t="shared" si="24"/>
        <v>1490346.7877499999</v>
      </c>
      <c r="L50" s="18">
        <f t="shared" si="13"/>
        <v>1.0506135626401045</v>
      </c>
      <c r="M50" s="17">
        <f>M6</f>
        <v>3194061.4131700001</v>
      </c>
      <c r="N50" s="17">
        <f t="shared" ref="N50:O50" si="25">N6</f>
        <v>1699506.54746</v>
      </c>
      <c r="O50" s="17">
        <f t="shared" si="25"/>
        <v>1494554.86571</v>
      </c>
      <c r="P50" s="17">
        <f>P6</f>
        <v>3224206.0198499998</v>
      </c>
      <c r="Q50" s="17">
        <f t="shared" ref="Q50:R50" si="26">Q6</f>
        <v>1804128.5594499998</v>
      </c>
      <c r="R50" s="17">
        <f t="shared" si="26"/>
        <v>1420077.4604</v>
      </c>
      <c r="S50" s="17">
        <f>S6</f>
        <v>91496.385060000001</v>
      </c>
      <c r="T50" s="17">
        <f t="shared" ref="T50:U50" si="27">T6</f>
        <v>36556.400000000001</v>
      </c>
      <c r="U50" s="17">
        <f t="shared" si="27"/>
        <v>54939.985059999999</v>
      </c>
      <c r="V50" s="18">
        <f t="shared" si="17"/>
        <v>3.8729706340644758E-2</v>
      </c>
    </row>
    <row r="51" spans="1:22" x14ac:dyDescent="0.25">
      <c r="A51" s="42" t="s">
        <v>75</v>
      </c>
      <c r="B51" s="43" t="s">
        <v>76</v>
      </c>
      <c r="C51" s="44">
        <f>C52+C86</f>
        <v>3333718.34002</v>
      </c>
      <c r="D51" s="44">
        <f>D52+D86</f>
        <v>1951982.21104</v>
      </c>
      <c r="E51" s="45">
        <f>C51-D51</f>
        <v>1381736.12898</v>
      </c>
      <c r="F51" s="44">
        <f>F52+F86</f>
        <v>3147176.2886099997</v>
      </c>
      <c r="G51" s="44">
        <f>G52+G86</f>
        <v>1741913.7386700001</v>
      </c>
      <c r="H51" s="45">
        <f>F51-G51</f>
        <v>1405262.5499399996</v>
      </c>
      <c r="I51" s="44">
        <f>I52+I86</f>
        <v>3251124.1756099998</v>
      </c>
      <c r="J51" s="44">
        <f>J52+J86</f>
        <v>1741053.38588</v>
      </c>
      <c r="K51" s="45">
        <f>I51-J51</f>
        <v>1510070.7897299998</v>
      </c>
      <c r="L51" s="46">
        <f t="shared" si="13"/>
        <v>1.0928792828517386</v>
      </c>
      <c r="M51" s="44">
        <f>M52+M86</f>
        <v>3156519.8926999997</v>
      </c>
      <c r="N51" s="44">
        <f>N52+N86</f>
        <v>1705867.6670299999</v>
      </c>
      <c r="O51" s="45">
        <f>M51-N51</f>
        <v>1450652.2256699998</v>
      </c>
      <c r="P51" s="44">
        <f>P52+P86</f>
        <v>3360107.6049800003</v>
      </c>
      <c r="Q51" s="44">
        <f>Q52+Q86</f>
        <v>1804128.5594500003</v>
      </c>
      <c r="R51" s="45">
        <f>P51-Q51</f>
        <v>1555979.04553</v>
      </c>
      <c r="S51" s="44">
        <f>S52+S86</f>
        <v>57063.703880000001</v>
      </c>
      <c r="T51" s="44">
        <f>T52+T86</f>
        <v>36556.620000000003</v>
      </c>
      <c r="U51" s="45">
        <f>S51-T51</f>
        <v>20507.083879999998</v>
      </c>
      <c r="V51" s="46">
        <f t="shared" si="17"/>
        <v>1.4841534103286683E-2</v>
      </c>
    </row>
    <row r="52" spans="1:22" x14ac:dyDescent="0.25">
      <c r="A52" s="47">
        <v>1</v>
      </c>
      <c r="B52" s="48" t="s">
        <v>77</v>
      </c>
      <c r="C52" s="49">
        <f>C53+C57+C62+C63+C64+C65+C79+C80</f>
        <v>2880293.5353399999</v>
      </c>
      <c r="D52" s="49">
        <f>D53+D57+D62+D63+D64+D65+D79+D80</f>
        <v>1725503.4989799999</v>
      </c>
      <c r="E52" s="38">
        <f>C52-D52</f>
        <v>1154790.03636</v>
      </c>
      <c r="F52" s="49">
        <f>F53+F57+F62+F63+F64+F65+F79+F80</f>
        <v>2888020.9719399996</v>
      </c>
      <c r="G52" s="49">
        <f>G53+G57+G62+G63+G64+G65+G79+G80</f>
        <v>1689809.2719700001</v>
      </c>
      <c r="H52" s="38">
        <f>F52-G52</f>
        <v>1198211.6999699995</v>
      </c>
      <c r="I52" s="49">
        <f>I53+I57+I62+I63+I64+I65+I79+I80</f>
        <v>2955830.5174599998</v>
      </c>
      <c r="J52" s="49">
        <f>J53+J57+J62+J63+J64+J65+J79+J80</f>
        <v>1644069.9479199999</v>
      </c>
      <c r="K52" s="38">
        <f>I52-J52</f>
        <v>1311760.5695399998</v>
      </c>
      <c r="L52" s="50">
        <f t="shared" si="13"/>
        <v>1.1359299337867381</v>
      </c>
      <c r="M52" s="49">
        <f>M53+M57+M62+M63+M64+M65+M79+M80</f>
        <v>2869715.2678899998</v>
      </c>
      <c r="N52" s="49">
        <f>N53+N57+N62+N63+N64+N65+N79+N80</f>
        <v>1614683.5628099998</v>
      </c>
      <c r="O52" s="38">
        <f>M52-N52</f>
        <v>1255031.70508</v>
      </c>
      <c r="P52" s="49">
        <f>P53+P57+P62+P63+P64+P65+P79+P80</f>
        <v>3080639.5897800005</v>
      </c>
      <c r="Q52" s="49">
        <f>Q53+Q57+Q62+Q63+Q64+Q65+Q79+Q80</f>
        <v>1760341.5242500002</v>
      </c>
      <c r="R52" s="38">
        <f>P52-Q52</f>
        <v>1320298.0655300003</v>
      </c>
      <c r="S52" s="49">
        <f>S53+S57+S62+S63+S64+S65+S79+S80</f>
        <v>47829.403879999998</v>
      </c>
      <c r="T52" s="49">
        <f>T53+T57+T62+T63+T64+T65+T79+T80</f>
        <v>36556.620000000003</v>
      </c>
      <c r="U52" s="38">
        <f>S52-T52</f>
        <v>11272.783879999995</v>
      </c>
      <c r="V52" s="50">
        <f t="shared" si="17"/>
        <v>9.7617606015486628E-3</v>
      </c>
    </row>
    <row r="53" spans="1:22" ht="38.25" x14ac:dyDescent="0.25">
      <c r="A53" s="51" t="s">
        <v>13</v>
      </c>
      <c r="B53" s="31" t="s">
        <v>78</v>
      </c>
      <c r="C53" s="25">
        <f>C55+C56+2015.13421+1245.95439</f>
        <v>163217.72047999999</v>
      </c>
      <c r="D53" s="25">
        <f>D55+D56+242.27337</f>
        <v>15312.777920000002</v>
      </c>
      <c r="E53" s="38">
        <f t="shared" si="0"/>
        <v>147904.94256</v>
      </c>
      <c r="F53" s="25">
        <f>F55+F56+3031.8</f>
        <v>174701.7977</v>
      </c>
      <c r="G53" s="25">
        <f>G55+G56+354</f>
        <v>16365.697700000001</v>
      </c>
      <c r="H53" s="38">
        <f t="shared" ref="H53:H104" si="28">F53-G53</f>
        <v>158336.1</v>
      </c>
      <c r="I53" s="25">
        <f>I55+I56+3253.20309+2490.82704</f>
        <v>187692.87986999998</v>
      </c>
      <c r="J53" s="25">
        <f>J55+J56+450.56672</f>
        <v>17096.78442</v>
      </c>
      <c r="K53" s="38">
        <f t="shared" ref="K53:K104" si="29">I53-J53</f>
        <v>170596.09544999996</v>
      </c>
      <c r="L53" s="50">
        <f t="shared" si="13"/>
        <v>1.1534171373670961</v>
      </c>
      <c r="M53" s="25">
        <f>M55+M56+3187.19324+2441.19454</f>
        <v>182664.83678999997</v>
      </c>
      <c r="N53" s="25">
        <f>N55+N56+435.66146</f>
        <v>16980.25836</v>
      </c>
      <c r="O53" s="38">
        <f t="shared" ref="O53:O104" si="30">M53-N53</f>
        <v>165684.57842999997</v>
      </c>
      <c r="P53" s="25">
        <f>P55+P56+3217+2000</f>
        <v>187886.59350000002</v>
      </c>
      <c r="Q53" s="25">
        <f>Q55+Q56+375.4</f>
        <v>18078.730500000001</v>
      </c>
      <c r="R53" s="38">
        <f t="shared" ref="R53:R104" si="31">P53-Q53</f>
        <v>169807.86300000001</v>
      </c>
      <c r="S53" s="25">
        <f>S55+S56+30.5</f>
        <v>2863.5</v>
      </c>
      <c r="T53" s="25">
        <f>T55+T56</f>
        <v>1202.4000000000001</v>
      </c>
      <c r="U53" s="38">
        <f t="shared" ref="U53:U104" si="32">S53-T53</f>
        <v>1661.1</v>
      </c>
      <c r="V53" s="50">
        <f t="shared" si="17"/>
        <v>1.123086200669831E-2</v>
      </c>
    </row>
    <row r="54" spans="1:22" x14ac:dyDescent="0.25">
      <c r="A54" s="51"/>
      <c r="B54" s="31" t="s">
        <v>17</v>
      </c>
      <c r="C54" s="25"/>
      <c r="D54" s="25"/>
      <c r="E54" s="38"/>
      <c r="F54" s="25"/>
      <c r="G54" s="25"/>
      <c r="H54" s="38"/>
      <c r="I54" s="25"/>
      <c r="J54" s="25"/>
      <c r="K54" s="38"/>
      <c r="L54" s="50"/>
      <c r="M54" s="25"/>
      <c r="N54" s="25"/>
      <c r="O54" s="38"/>
      <c r="P54" s="25"/>
      <c r="Q54" s="25"/>
      <c r="R54" s="38"/>
      <c r="S54" s="25"/>
      <c r="T54" s="25"/>
      <c r="U54" s="38"/>
      <c r="V54" s="50"/>
    </row>
    <row r="55" spans="1:22" ht="25.5" x14ac:dyDescent="0.25">
      <c r="A55" s="51"/>
      <c r="B55" s="31" t="s">
        <v>79</v>
      </c>
      <c r="C55" s="25">
        <v>124762.26432</v>
      </c>
      <c r="D55" s="25">
        <v>11599.00625</v>
      </c>
      <c r="E55" s="38">
        <f t="shared" si="0"/>
        <v>113163.25807</v>
      </c>
      <c r="F55" s="25">
        <f>131854.03218</f>
        <v>131854.03218000001</v>
      </c>
      <c r="G55" s="25">
        <f>12300.70918</f>
        <v>12300.70918</v>
      </c>
      <c r="H55" s="38">
        <f t="shared" si="28"/>
        <v>119553.323</v>
      </c>
      <c r="I55" s="25">
        <v>140236.01965999999</v>
      </c>
      <c r="J55" s="25">
        <f>12814.01957</f>
        <v>12814.01957</v>
      </c>
      <c r="K55" s="38">
        <f t="shared" si="29"/>
        <v>127422.00008999999</v>
      </c>
      <c r="L55" s="50">
        <f>K55/E55</f>
        <v>1.1260015155376659</v>
      </c>
      <c r="M55" s="25">
        <v>137137.99288999999</v>
      </c>
      <c r="N55" s="25">
        <f>12747.75516</f>
        <v>12747.755160000001</v>
      </c>
      <c r="O55" s="38">
        <f t="shared" si="30"/>
        <v>124390.23772999999</v>
      </c>
      <c r="P55" s="25">
        <v>140394.99731000001</v>
      </c>
      <c r="Q55" s="25">
        <v>13598.62731</v>
      </c>
      <c r="R55" s="38">
        <f t="shared" si="31"/>
        <v>126796.37000000001</v>
      </c>
      <c r="S55" s="25">
        <v>2175.8000000000002</v>
      </c>
      <c r="T55" s="25">
        <v>1005.2</v>
      </c>
      <c r="U55" s="38">
        <f t="shared" si="32"/>
        <v>1170.6000000000001</v>
      </c>
      <c r="V55" s="50">
        <f>U55/E55</f>
        <v>1.0344346919349882E-2</v>
      </c>
    </row>
    <row r="56" spans="1:22" ht="25.5" x14ac:dyDescent="0.25">
      <c r="A56" s="51"/>
      <c r="B56" s="31" t="s">
        <v>80</v>
      </c>
      <c r="C56" s="25">
        <v>35194.367559999999</v>
      </c>
      <c r="D56" s="25">
        <v>3471.4983000000002</v>
      </c>
      <c r="E56" s="38">
        <f t="shared" si="0"/>
        <v>31722.869259999999</v>
      </c>
      <c r="F56" s="25">
        <v>39815.965519999998</v>
      </c>
      <c r="G56" s="25">
        <v>3710.9885199999999</v>
      </c>
      <c r="H56" s="38">
        <f t="shared" si="28"/>
        <v>36104.976999999999</v>
      </c>
      <c r="I56" s="25">
        <v>41712.83008</v>
      </c>
      <c r="J56" s="25">
        <v>3832.1981300000002</v>
      </c>
      <c r="K56" s="38">
        <f t="shared" si="29"/>
        <v>37880.631950000003</v>
      </c>
      <c r="L56" s="50">
        <f>K56/E56</f>
        <v>1.1941111517855181</v>
      </c>
      <c r="M56" s="25">
        <v>39898.456120000003</v>
      </c>
      <c r="N56" s="25">
        <f>3796.84174</f>
        <v>3796.8417399999998</v>
      </c>
      <c r="O56" s="38">
        <f t="shared" si="30"/>
        <v>36101.614379999999</v>
      </c>
      <c r="P56" s="25">
        <v>42274.596189999997</v>
      </c>
      <c r="Q56" s="25">
        <v>4104.7031900000002</v>
      </c>
      <c r="R56" s="38">
        <f t="shared" si="31"/>
        <v>38169.892999999996</v>
      </c>
      <c r="S56" s="25">
        <v>657.2</v>
      </c>
      <c r="T56" s="25">
        <v>197.2</v>
      </c>
      <c r="U56" s="38">
        <f t="shared" si="32"/>
        <v>460.00000000000006</v>
      </c>
      <c r="V56" s="50">
        <f>U56/E56</f>
        <v>1.4500579888592336E-2</v>
      </c>
    </row>
    <row r="57" spans="1:22" ht="25.5" x14ac:dyDescent="0.25">
      <c r="A57" s="51" t="s">
        <v>56</v>
      </c>
      <c r="B57" s="31" t="s">
        <v>81</v>
      </c>
      <c r="C57" s="25">
        <f>497365.0625-C91</f>
        <v>138466.63633000001</v>
      </c>
      <c r="D57" s="52">
        <f>259105.58304-D91</f>
        <v>32626.870980000007</v>
      </c>
      <c r="E57" s="38">
        <f t="shared" si="0"/>
        <v>105839.76535</v>
      </c>
      <c r="F57" s="25">
        <v>107540.02428</v>
      </c>
      <c r="G57" s="25">
        <v>8388.9742800000004</v>
      </c>
      <c r="H57" s="38">
        <f t="shared" si="28"/>
        <v>99151.05</v>
      </c>
      <c r="I57" s="25">
        <f>390758.51744-I91</f>
        <v>181555.91286000001</v>
      </c>
      <c r="J57" s="52">
        <f>146349.35033-J91</f>
        <v>49365.912369999991</v>
      </c>
      <c r="K57" s="38">
        <f t="shared" si="29"/>
        <v>132190.00049000001</v>
      </c>
      <c r="L57" s="50">
        <f>K57/E57</f>
        <v>1.2489634690030045</v>
      </c>
      <c r="M57" s="25">
        <f>374045.02821-M91</f>
        <v>172598.35841000004</v>
      </c>
      <c r="N57" s="52">
        <f>138860.74724-N91</f>
        <v>47676.643020000003</v>
      </c>
      <c r="O57" s="38">
        <f t="shared" si="30"/>
        <v>124921.71539000004</v>
      </c>
      <c r="P57" s="25">
        <f>431162.03293-P91</f>
        <v>243772.56372999999</v>
      </c>
      <c r="Q57" s="25">
        <f>86245.43273-Q91</f>
        <v>42480.997530000001</v>
      </c>
      <c r="R57" s="38">
        <f t="shared" si="31"/>
        <v>201291.5662</v>
      </c>
      <c r="S57" s="25">
        <v>5714.5</v>
      </c>
      <c r="T57" s="25">
        <v>41.5</v>
      </c>
      <c r="U57" s="38">
        <f t="shared" si="32"/>
        <v>5673</v>
      </c>
      <c r="V57" s="50">
        <f>U57/E57</f>
        <v>5.359989207496859E-2</v>
      </c>
    </row>
    <row r="58" spans="1:22" x14ac:dyDescent="0.25">
      <c r="A58" s="53"/>
      <c r="B58" s="54" t="s">
        <v>7</v>
      </c>
      <c r="C58" s="34"/>
      <c r="D58" s="55"/>
      <c r="E58" s="56"/>
      <c r="F58" s="25"/>
      <c r="G58" s="25"/>
      <c r="H58" s="56"/>
      <c r="I58" s="34"/>
      <c r="J58" s="55"/>
      <c r="K58" s="56"/>
      <c r="L58" s="57"/>
      <c r="M58" s="34"/>
      <c r="N58" s="55"/>
      <c r="O58" s="56"/>
      <c r="P58" s="25"/>
      <c r="Q58" s="25"/>
      <c r="R58" s="56"/>
      <c r="S58" s="25"/>
      <c r="T58" s="25"/>
      <c r="U58" s="56"/>
      <c r="V58" s="57"/>
    </row>
    <row r="59" spans="1:22" ht="25.5" x14ac:dyDescent="0.25">
      <c r="A59" s="23"/>
      <c r="B59" s="31" t="s">
        <v>82</v>
      </c>
      <c r="C59" s="25">
        <f>25028.01733+2330.82446</f>
        <v>27358.841789999999</v>
      </c>
      <c r="D59" s="58">
        <f>585.20132</f>
        <v>585.20132000000001</v>
      </c>
      <c r="E59" s="38">
        <f t="shared" si="0"/>
        <v>26773.640469999998</v>
      </c>
      <c r="F59" s="25">
        <f>28249.706+197.445</f>
        <v>28447.150999999998</v>
      </c>
      <c r="G59" s="25">
        <f>0+197.445</f>
        <v>197.44499999999999</v>
      </c>
      <c r="H59" s="38">
        <f t="shared" ref="H59:H61" si="33">F59-G59</f>
        <v>28249.705999999998</v>
      </c>
      <c r="I59" s="25">
        <f>36691.24+1750.3</f>
        <v>38441.54</v>
      </c>
      <c r="J59" s="58">
        <f>0+604.9</f>
        <v>604.9</v>
      </c>
      <c r="K59" s="38">
        <f t="shared" ref="K59:K61" si="34">I59-J59</f>
        <v>37836.639999999999</v>
      </c>
      <c r="L59" s="50">
        <f t="shared" ref="L59:L67" si="35">K59/E59</f>
        <v>1.4132049036213865</v>
      </c>
      <c r="M59" s="25">
        <f>33453.258+1711.6</f>
        <v>35164.858</v>
      </c>
      <c r="N59" s="58">
        <f>0+567.2</f>
        <v>567.20000000000005</v>
      </c>
      <c r="O59" s="38">
        <f t="shared" ref="O59:O61" si="36">M59-N59</f>
        <v>34597.658000000003</v>
      </c>
      <c r="P59" s="25">
        <f>33530.125+566.58</f>
        <v>34096.705000000002</v>
      </c>
      <c r="Q59" s="25">
        <v>566.58000000000004</v>
      </c>
      <c r="R59" s="38">
        <f t="shared" ref="R59:R61" si="37">P59-Q59</f>
        <v>33530.125</v>
      </c>
      <c r="S59" s="25">
        <v>2894.3</v>
      </c>
      <c r="T59" s="25">
        <v>115.2</v>
      </c>
      <c r="U59" s="38">
        <f t="shared" ref="U59:U61" si="38">S59-T59</f>
        <v>2779.1000000000004</v>
      </c>
      <c r="V59" s="50">
        <f t="shared" ref="V59:V67" si="39">U59/E59</f>
        <v>0.10379985505198654</v>
      </c>
    </row>
    <row r="60" spans="1:22" ht="25.5" x14ac:dyDescent="0.25">
      <c r="A60" s="23"/>
      <c r="B60" s="31" t="s">
        <v>83</v>
      </c>
      <c r="C60" s="25">
        <f>43043.9664+1618.47411</f>
        <v>44662.44051</v>
      </c>
      <c r="D60" s="58">
        <f>99.49392+5016</f>
        <v>5115.4939199999999</v>
      </c>
      <c r="E60" s="38">
        <f t="shared" si="0"/>
        <v>39546.94659</v>
      </c>
      <c r="F60" s="25">
        <f>42611.993+10029.781</f>
        <v>52641.774000000005</v>
      </c>
      <c r="G60" s="25">
        <f>5343.3</f>
        <v>5343.3</v>
      </c>
      <c r="H60" s="38">
        <f t="shared" si="33"/>
        <v>47298.474000000002</v>
      </c>
      <c r="I60" s="25">
        <f>57347+20645.2</f>
        <v>77992.2</v>
      </c>
      <c r="J60" s="58">
        <f>5343.257+95.4</f>
        <v>5438.6569999999992</v>
      </c>
      <c r="K60" s="38">
        <f t="shared" si="34"/>
        <v>72553.543000000005</v>
      </c>
      <c r="L60" s="50">
        <f t="shared" si="35"/>
        <v>1.8346180743659786</v>
      </c>
      <c r="M60" s="25">
        <f>41036.876+20471.6</f>
        <v>61508.475999999995</v>
      </c>
      <c r="N60" s="58">
        <f>5343.256+92.7</f>
        <v>5435.9560000000001</v>
      </c>
      <c r="O60" s="38">
        <f t="shared" si="36"/>
        <v>56072.52</v>
      </c>
      <c r="P60" s="25">
        <f>47737.159+24.45</f>
        <v>47761.608999999997</v>
      </c>
      <c r="Q60" s="25">
        <f>5018.959+24.45</f>
        <v>5043.4089999999997</v>
      </c>
      <c r="R60" s="38">
        <f t="shared" si="37"/>
        <v>42718.2</v>
      </c>
      <c r="S60" s="25">
        <f>1100</f>
        <v>1100</v>
      </c>
      <c r="T60" s="25">
        <v>34</v>
      </c>
      <c r="U60" s="38">
        <f t="shared" si="38"/>
        <v>1066</v>
      </c>
      <c r="V60" s="50">
        <f t="shared" si="39"/>
        <v>2.6955304819147607E-2</v>
      </c>
    </row>
    <row r="61" spans="1:22" ht="25.5" x14ac:dyDescent="0.25">
      <c r="A61" s="23"/>
      <c r="B61" s="31" t="s">
        <v>84</v>
      </c>
      <c r="C61" s="25">
        <f>40854.61667+1858.08809</f>
        <v>42712.704760000001</v>
      </c>
      <c r="D61" s="58">
        <f>1492.80575+18924</f>
        <v>20416.80575</v>
      </c>
      <c r="E61" s="38">
        <f t="shared" si="0"/>
        <v>22295.899010000001</v>
      </c>
      <c r="F61" s="25">
        <f>0+838.1</f>
        <v>838.1</v>
      </c>
      <c r="G61" s="25">
        <f>0+238.1</f>
        <v>238.1</v>
      </c>
      <c r="H61" s="38">
        <f t="shared" si="33"/>
        <v>600</v>
      </c>
      <c r="I61" s="25">
        <f>45955+5783.5</f>
        <v>51738.5</v>
      </c>
      <c r="J61" s="58">
        <f>30175+583.5</f>
        <v>30758.5</v>
      </c>
      <c r="K61" s="38">
        <f t="shared" si="34"/>
        <v>20980</v>
      </c>
      <c r="L61" s="50">
        <f t="shared" si="35"/>
        <v>0.94098022199464559</v>
      </c>
      <c r="M61" s="25">
        <f>45955+5681.2</f>
        <v>51636.2</v>
      </c>
      <c r="N61" s="58">
        <f>30175+576.7</f>
        <v>30751.7</v>
      </c>
      <c r="O61" s="38">
        <f t="shared" si="36"/>
        <v>20884.499999999996</v>
      </c>
      <c r="P61" s="25">
        <f>31013+200</f>
        <v>31213</v>
      </c>
      <c r="Q61" s="25">
        <f>29013+200</f>
        <v>29213</v>
      </c>
      <c r="R61" s="38">
        <f t="shared" si="37"/>
        <v>2000</v>
      </c>
      <c r="S61" s="25">
        <v>25</v>
      </c>
      <c r="T61" s="25">
        <v>0</v>
      </c>
      <c r="U61" s="38">
        <f t="shared" si="38"/>
        <v>25</v>
      </c>
      <c r="V61" s="50">
        <f t="shared" si="39"/>
        <v>1.1212824380298445E-3</v>
      </c>
    </row>
    <row r="62" spans="1:22" ht="25.5" x14ac:dyDescent="0.25">
      <c r="A62" s="51" t="s">
        <v>85</v>
      </c>
      <c r="B62" s="31" t="s">
        <v>86</v>
      </c>
      <c r="C62" s="25">
        <f>55147.44993-C96</f>
        <v>54150.395000000004</v>
      </c>
      <c r="D62" s="52">
        <f>47239.47923-D96</f>
        <v>47239.479229999997</v>
      </c>
      <c r="E62" s="38">
        <f t="shared" si="0"/>
        <v>6910.9157700000069</v>
      </c>
      <c r="F62" s="25">
        <v>72637.649999999994</v>
      </c>
      <c r="G62" s="52">
        <v>66711.899999999994</v>
      </c>
      <c r="H62" s="38">
        <f t="shared" si="28"/>
        <v>5925.75</v>
      </c>
      <c r="I62" s="25">
        <v>79601.890410000007</v>
      </c>
      <c r="J62" s="52">
        <v>71127.899999999994</v>
      </c>
      <c r="K62" s="38">
        <f t="shared" si="29"/>
        <v>8473.9904100000131</v>
      </c>
      <c r="L62" s="50">
        <f t="shared" si="35"/>
        <v>1.2261747490521078</v>
      </c>
      <c r="M62" s="25">
        <f>76836.18738</f>
        <v>76836.187380000003</v>
      </c>
      <c r="N62" s="52">
        <v>68384.440069999997</v>
      </c>
      <c r="O62" s="38">
        <f t="shared" si="30"/>
        <v>8451.7473100000061</v>
      </c>
      <c r="P62" s="25">
        <v>83978.05</v>
      </c>
      <c r="Q62" s="25">
        <v>77081.5</v>
      </c>
      <c r="R62" s="38">
        <f t="shared" si="31"/>
        <v>6896.5500000000029</v>
      </c>
      <c r="S62" s="25">
        <v>4795.3</v>
      </c>
      <c r="T62" s="25">
        <v>4412.5</v>
      </c>
      <c r="U62" s="38">
        <f t="shared" si="32"/>
        <v>382.80000000000018</v>
      </c>
      <c r="V62" s="50">
        <f t="shared" si="39"/>
        <v>5.539063312878429E-2</v>
      </c>
    </row>
    <row r="63" spans="1:22" ht="25.5" x14ac:dyDescent="0.25">
      <c r="A63" s="51" t="s">
        <v>87</v>
      </c>
      <c r="B63" s="31" t="s">
        <v>88</v>
      </c>
      <c r="C63" s="25">
        <f>366730.27154-C97</f>
        <v>366730.27153999999</v>
      </c>
      <c r="D63" s="58">
        <v>347764.20629</v>
      </c>
      <c r="E63" s="38">
        <f t="shared" si="0"/>
        <v>18966.065249999985</v>
      </c>
      <c r="F63" s="25">
        <v>351266.43790999998</v>
      </c>
      <c r="G63" s="58">
        <v>319172.28665999998</v>
      </c>
      <c r="H63" s="38">
        <f t="shared" si="28"/>
        <v>32094.151249999995</v>
      </c>
      <c r="I63" s="25">
        <v>166048.42207999999</v>
      </c>
      <c r="J63" s="58">
        <v>157746.00096999999</v>
      </c>
      <c r="K63" s="38">
        <f t="shared" si="29"/>
        <v>8302.4211099999957</v>
      </c>
      <c r="L63" s="50">
        <f t="shared" si="35"/>
        <v>0.43775137333770386</v>
      </c>
      <c r="M63" s="25">
        <f>166048.42208</f>
        <v>166048.42207999999</v>
      </c>
      <c r="N63" s="58">
        <v>157746.00096999999</v>
      </c>
      <c r="O63" s="38">
        <f t="shared" si="30"/>
        <v>8302.4211099999957</v>
      </c>
      <c r="P63" s="25">
        <v>53412.298300000002</v>
      </c>
      <c r="Q63" s="25">
        <v>50741.683369999999</v>
      </c>
      <c r="R63" s="38">
        <f t="shared" si="31"/>
        <v>2670.6149300000034</v>
      </c>
      <c r="S63" s="25">
        <v>0</v>
      </c>
      <c r="T63" s="25"/>
      <c r="U63" s="38">
        <f t="shared" si="32"/>
        <v>0</v>
      </c>
      <c r="V63" s="50">
        <f t="shared" si="39"/>
        <v>0</v>
      </c>
    </row>
    <row r="64" spans="1:22" x14ac:dyDescent="0.25">
      <c r="A64" s="51" t="s">
        <v>89</v>
      </c>
      <c r="B64" s="31" t="s">
        <v>90</v>
      </c>
      <c r="C64" s="25"/>
      <c r="D64" s="58"/>
      <c r="E64" s="38">
        <f t="shared" si="0"/>
        <v>0</v>
      </c>
      <c r="F64" s="25"/>
      <c r="G64" s="58"/>
      <c r="H64" s="38">
        <f t="shared" si="28"/>
        <v>0</v>
      </c>
      <c r="I64" s="25"/>
      <c r="J64" s="58"/>
      <c r="K64" s="38">
        <f t="shared" si="29"/>
        <v>0</v>
      </c>
      <c r="L64" s="50" t="e">
        <f t="shared" si="35"/>
        <v>#DIV/0!</v>
      </c>
      <c r="M64" s="25"/>
      <c r="N64" s="58"/>
      <c r="O64" s="38">
        <f t="shared" si="30"/>
        <v>0</v>
      </c>
      <c r="P64" s="25"/>
      <c r="Q64" s="25"/>
      <c r="R64" s="38">
        <f t="shared" si="31"/>
        <v>0</v>
      </c>
      <c r="S64" s="25"/>
      <c r="T64" s="25"/>
      <c r="U64" s="38">
        <f t="shared" si="32"/>
        <v>0</v>
      </c>
      <c r="V64" s="50" t="e">
        <f t="shared" si="39"/>
        <v>#DIV/0!</v>
      </c>
    </row>
    <row r="65" spans="1:22" ht="38.25" x14ac:dyDescent="0.25">
      <c r="A65" s="51" t="s">
        <v>91</v>
      </c>
      <c r="B65" s="31" t="s">
        <v>92</v>
      </c>
      <c r="C65" s="25">
        <v>2139587.1211100002</v>
      </c>
      <c r="D65" s="58">
        <v>1279238.31467</v>
      </c>
      <c r="E65" s="38">
        <f t="shared" si="0"/>
        <v>860348.80644000019</v>
      </c>
      <c r="F65" s="25">
        <v>2157410.9620500002</v>
      </c>
      <c r="G65" s="58">
        <v>1275139.31333</v>
      </c>
      <c r="H65" s="38">
        <f t="shared" si="28"/>
        <v>882271.64872000017</v>
      </c>
      <c r="I65" s="25">
        <f>2311671.12821</f>
        <v>2311671.1282100002</v>
      </c>
      <c r="J65" s="58">
        <f>-541.91935+1347618.06951</f>
        <v>1347076.15016</v>
      </c>
      <c r="K65" s="38">
        <f t="shared" si="29"/>
        <v>964594.97805000027</v>
      </c>
      <c r="L65" s="50">
        <f t="shared" si="35"/>
        <v>1.121167334492339</v>
      </c>
      <c r="M65" s="25">
        <v>2254477.6537899999</v>
      </c>
      <c r="N65" s="58">
        <v>1323108.9063899999</v>
      </c>
      <c r="O65" s="38">
        <f t="shared" si="30"/>
        <v>931368.74739999999</v>
      </c>
      <c r="P65" s="25">
        <v>2486524.8472500001</v>
      </c>
      <c r="Q65" s="25">
        <v>1569283.0128500001</v>
      </c>
      <c r="R65" s="38">
        <f t="shared" si="31"/>
        <v>917241.83440000005</v>
      </c>
      <c r="S65" s="25">
        <v>34415.199999999997</v>
      </c>
      <c r="T65" s="25">
        <f>20441.2+7459.02+3000</f>
        <v>30900.22</v>
      </c>
      <c r="U65" s="38">
        <f t="shared" si="32"/>
        <v>3514.9799999999959</v>
      </c>
      <c r="V65" s="50">
        <f t="shared" si="39"/>
        <v>4.0855290013645492E-3</v>
      </c>
    </row>
    <row r="66" spans="1:22" ht="51" x14ac:dyDescent="0.25">
      <c r="A66" s="51"/>
      <c r="B66" s="59" t="s">
        <v>93</v>
      </c>
      <c r="C66" s="60">
        <f>C67+C70+C71+C72+C73+C74</f>
        <v>2075847.1836100002</v>
      </c>
      <c r="D66" s="60">
        <f>D67+D70+D71+D72+D73+D74</f>
        <v>1232924.98832</v>
      </c>
      <c r="E66" s="60">
        <f t="shared" si="0"/>
        <v>842922.19529000018</v>
      </c>
      <c r="F66" s="61">
        <f>F67+F70+F71+F72+F73+F74</f>
        <v>2157411</v>
      </c>
      <c r="G66" s="61">
        <f>G67+G70+G71+G72+G73+G74</f>
        <v>1275139</v>
      </c>
      <c r="H66" s="60">
        <f t="shared" si="28"/>
        <v>882272</v>
      </c>
      <c r="I66" s="61">
        <f>I67+I70+I71+I72+I73+I74</f>
        <v>2516825.9040000001</v>
      </c>
      <c r="J66" s="61">
        <f>J67+J70+J71+J72+J73+J74</f>
        <v>1440719.09</v>
      </c>
      <c r="K66" s="60">
        <f t="shared" si="29"/>
        <v>1076106.814</v>
      </c>
      <c r="L66" s="62">
        <f t="shared" si="35"/>
        <v>1.2766383659286307</v>
      </c>
      <c r="M66" s="61">
        <f>M67+M70+M71+M72+M73+M74</f>
        <v>2266236.898</v>
      </c>
      <c r="N66" s="61">
        <f>N67+N70+N71+N72+N73+N74</f>
        <v>1356281.91</v>
      </c>
      <c r="O66" s="60">
        <f t="shared" si="30"/>
        <v>909954.98800000013</v>
      </c>
      <c r="P66" s="61">
        <f>P67+P70+P71+P72+P73+P74</f>
        <v>2486524.4583999999</v>
      </c>
      <c r="Q66" s="61">
        <f>Q67+Q70+Q71+Q72+Q73+Q74</f>
        <v>1569283.15</v>
      </c>
      <c r="R66" s="60">
        <f t="shared" si="31"/>
        <v>917241.30839999998</v>
      </c>
      <c r="S66" s="61">
        <f>S67+S70+S71+S72+S73+S74</f>
        <v>29344.6</v>
      </c>
      <c r="T66" s="61">
        <f>T67+T70+T71+T72+T73+T74</f>
        <v>21278.6</v>
      </c>
      <c r="U66" s="60">
        <f t="shared" si="32"/>
        <v>8066</v>
      </c>
      <c r="V66" s="63">
        <f t="shared" si="39"/>
        <v>9.569091957799215E-3</v>
      </c>
    </row>
    <row r="67" spans="1:22" x14ac:dyDescent="0.25">
      <c r="A67" s="51" t="s">
        <v>94</v>
      </c>
      <c r="B67" s="64" t="s">
        <v>95</v>
      </c>
      <c r="C67" s="65">
        <v>1408433.7320000001</v>
      </c>
      <c r="D67" s="66">
        <f>977424.5+35224</f>
        <v>1012648.5</v>
      </c>
      <c r="E67" s="67">
        <f t="shared" si="0"/>
        <v>395785.23200000008</v>
      </c>
      <c r="F67" s="65">
        <v>1526200</v>
      </c>
      <c r="G67" s="66">
        <v>1098450</v>
      </c>
      <c r="H67" s="67">
        <f t="shared" si="28"/>
        <v>427750</v>
      </c>
      <c r="I67" s="65">
        <f>1580976.9+0.1+82470.43</f>
        <v>1663447.43</v>
      </c>
      <c r="J67" s="66">
        <f>1207176.4+5878.09</f>
        <v>1213054.49</v>
      </c>
      <c r="K67" s="67">
        <f t="shared" si="29"/>
        <v>450392.93999999994</v>
      </c>
      <c r="L67" s="68">
        <f t="shared" si="35"/>
        <v>1.1379730813200222</v>
      </c>
      <c r="M67" s="65">
        <f>1562361.6+77041.62</f>
        <v>1639403.2200000002</v>
      </c>
      <c r="N67" s="66">
        <f>1194427.4+5952.71</f>
        <v>1200380.1099999999</v>
      </c>
      <c r="O67" s="67">
        <f t="shared" si="30"/>
        <v>439023.11000000034</v>
      </c>
      <c r="P67" s="65">
        <f>1585788.1664-25000+100000+30000+62698.5</f>
        <v>1753486.6664</v>
      </c>
      <c r="Q67" s="66">
        <f>1249981.592-10000+40000</f>
        <v>1279981.5919999999</v>
      </c>
      <c r="R67" s="67">
        <f t="shared" si="31"/>
        <v>473505.07440000004</v>
      </c>
      <c r="S67" s="65">
        <f>2232+13172.1</f>
        <v>15404.1</v>
      </c>
      <c r="T67" s="65">
        <v>11065.9</v>
      </c>
      <c r="U67" s="67">
        <f t="shared" si="32"/>
        <v>4338.2000000000007</v>
      </c>
      <c r="V67" s="68">
        <f t="shared" si="39"/>
        <v>1.0960995128792476E-2</v>
      </c>
    </row>
    <row r="68" spans="1:22" x14ac:dyDescent="0.25">
      <c r="A68" s="51"/>
      <c r="B68" s="64" t="s">
        <v>7</v>
      </c>
      <c r="C68" s="65"/>
      <c r="D68" s="66"/>
      <c r="E68" s="67"/>
      <c r="F68" s="65"/>
      <c r="G68" s="66"/>
      <c r="H68" s="67"/>
      <c r="I68" s="65"/>
      <c r="J68" s="66"/>
      <c r="K68" s="67"/>
      <c r="L68" s="68"/>
      <c r="M68" s="65"/>
      <c r="N68" s="66"/>
      <c r="O68" s="67"/>
      <c r="P68" s="65"/>
      <c r="Q68" s="66"/>
      <c r="R68" s="67"/>
      <c r="S68" s="65"/>
      <c r="T68" s="66"/>
      <c r="U68" s="67"/>
      <c r="V68" s="68"/>
    </row>
    <row r="69" spans="1:22" ht="25.5" x14ac:dyDescent="0.25">
      <c r="A69" s="51"/>
      <c r="B69" s="64" t="s">
        <v>96</v>
      </c>
      <c r="C69" s="65">
        <v>1370448.0370799999</v>
      </c>
      <c r="D69" s="66">
        <f>954644.9+35224</f>
        <v>989868.9</v>
      </c>
      <c r="E69" s="67">
        <f>C69-D69</f>
        <v>380579.1370799999</v>
      </c>
      <c r="F69" s="65">
        <v>1484618</v>
      </c>
      <c r="G69" s="66">
        <v>1083395</v>
      </c>
      <c r="H69" s="67">
        <f t="shared" si="28"/>
        <v>401223</v>
      </c>
      <c r="I69" s="65">
        <f>1531979.3+80904.83</f>
        <v>1612884.1300000001</v>
      </c>
      <c r="J69" s="66">
        <f>1181563+5878.09</f>
        <v>1187441.0900000001</v>
      </c>
      <c r="K69" s="67">
        <f t="shared" si="29"/>
        <v>425443.04000000004</v>
      </c>
      <c r="L69" s="68">
        <f t="shared" ref="L69:L74" si="40">K69/E69</f>
        <v>1.1178832430600878</v>
      </c>
      <c r="M69" s="65">
        <f>1517219.9+75529.4</f>
        <v>1592749.2999999998</v>
      </c>
      <c r="N69" s="66">
        <f>1171507.9+5952.71</f>
        <v>1177460.6099999999</v>
      </c>
      <c r="O69" s="67">
        <f t="shared" si="30"/>
        <v>415288.68999999994</v>
      </c>
      <c r="P69" s="65">
        <f>1537080.2721-5000+100000+61603.5</f>
        <v>1693683.7720999999</v>
      </c>
      <c r="Q69" s="66">
        <f>1226943.611+40000</f>
        <v>1266943.611</v>
      </c>
      <c r="R69" s="67">
        <f t="shared" si="31"/>
        <v>426740.16109999991</v>
      </c>
      <c r="S69" s="65">
        <f>2232+13166.5</f>
        <v>15398.5</v>
      </c>
      <c r="T69" s="66">
        <v>11065.9</v>
      </c>
      <c r="U69" s="67">
        <f t="shared" si="32"/>
        <v>4332.6000000000004</v>
      </c>
      <c r="V69" s="68">
        <f t="shared" ref="V69:V74" si="41">U69/E69</f>
        <v>1.1384228870878078E-2</v>
      </c>
    </row>
    <row r="70" spans="1:22" x14ac:dyDescent="0.25">
      <c r="A70" s="51" t="s">
        <v>97</v>
      </c>
      <c r="B70" s="64" t="s">
        <v>98</v>
      </c>
      <c r="C70" s="65">
        <v>27583.084729999999</v>
      </c>
      <c r="D70" s="66">
        <f>26815.5</f>
        <v>26815.5</v>
      </c>
      <c r="E70" s="67">
        <f t="shared" ref="E70:E74" si="42">C70-D70</f>
        <v>767.58472999999867</v>
      </c>
      <c r="F70" s="65">
        <v>29236</v>
      </c>
      <c r="G70" s="66">
        <v>28424</v>
      </c>
      <c r="H70" s="67">
        <f t="shared" si="28"/>
        <v>812</v>
      </c>
      <c r="I70" s="65">
        <f>2927.1+4.99</f>
        <v>2932.0899999999997</v>
      </c>
      <c r="J70" s="66">
        <f>2554.5</f>
        <v>2554.5</v>
      </c>
      <c r="K70" s="67">
        <f t="shared" si="29"/>
        <v>377.58999999999969</v>
      </c>
      <c r="L70" s="68">
        <f t="shared" si="40"/>
        <v>0.49191963472228056</v>
      </c>
      <c r="M70" s="65">
        <f>2709+4.99</f>
        <v>2713.99</v>
      </c>
      <c r="N70" s="66">
        <f>2442.2</f>
        <v>2442.1999999999998</v>
      </c>
      <c r="O70" s="67">
        <f t="shared" si="30"/>
        <v>271.78999999999996</v>
      </c>
      <c r="P70" s="65">
        <v>2817.36</v>
      </c>
      <c r="Q70" s="66">
        <f>N70*1.06</f>
        <v>2588.732</v>
      </c>
      <c r="R70" s="67">
        <f t="shared" si="31"/>
        <v>228.62800000000016</v>
      </c>
      <c r="S70" s="65">
        <v>217.2</v>
      </c>
      <c r="T70" s="66">
        <v>207.4</v>
      </c>
      <c r="U70" s="67">
        <f t="shared" si="32"/>
        <v>9.7999999999999829</v>
      </c>
      <c r="V70" s="68">
        <f t="shared" si="41"/>
        <v>1.2767320162817725E-2</v>
      </c>
    </row>
    <row r="71" spans="1:22" x14ac:dyDescent="0.25">
      <c r="A71" s="51" t="s">
        <v>99</v>
      </c>
      <c r="B71" s="64" t="s">
        <v>100</v>
      </c>
      <c r="C71" s="65">
        <v>17484.964240000001</v>
      </c>
      <c r="D71" s="66"/>
      <c r="E71" s="67">
        <f t="shared" si="42"/>
        <v>17484.964240000001</v>
      </c>
      <c r="F71" s="65">
        <v>17952</v>
      </c>
      <c r="G71" s="66"/>
      <c r="H71" s="67">
        <f t="shared" si="28"/>
        <v>17952</v>
      </c>
      <c r="I71" s="65">
        <f>16547.3+595.11</f>
        <v>17142.41</v>
      </c>
      <c r="J71" s="66"/>
      <c r="K71" s="67">
        <f t="shared" si="29"/>
        <v>17142.41</v>
      </c>
      <c r="L71" s="68">
        <f t="shared" si="40"/>
        <v>0.98040863937162959</v>
      </c>
      <c r="M71" s="65">
        <f>12926+581.008</f>
        <v>13507.008</v>
      </c>
      <c r="N71" s="66"/>
      <c r="O71" s="67">
        <f t="shared" si="30"/>
        <v>13507.008</v>
      </c>
      <c r="P71" s="65">
        <f>16547+3282.9+1098.9+520</f>
        <v>21448.800000000003</v>
      </c>
      <c r="Q71" s="66">
        <f>N71*1.06</f>
        <v>0</v>
      </c>
      <c r="R71" s="67">
        <f t="shared" si="31"/>
        <v>21448.800000000003</v>
      </c>
      <c r="S71" s="65"/>
      <c r="T71" s="66"/>
      <c r="U71" s="67">
        <f t="shared" si="32"/>
        <v>0</v>
      </c>
      <c r="V71" s="68">
        <f t="shared" si="41"/>
        <v>0</v>
      </c>
    </row>
    <row r="72" spans="1:22" ht="33.75" customHeight="1" x14ac:dyDescent="0.25">
      <c r="A72" s="51" t="s">
        <v>101</v>
      </c>
      <c r="B72" s="64" t="s">
        <v>102</v>
      </c>
      <c r="C72" s="65"/>
      <c r="D72" s="66"/>
      <c r="E72" s="67">
        <f t="shared" si="42"/>
        <v>0</v>
      </c>
      <c r="F72" s="65"/>
      <c r="G72" s="66"/>
      <c r="H72" s="67">
        <f t="shared" si="28"/>
        <v>0</v>
      </c>
      <c r="I72" s="65"/>
      <c r="J72" s="66"/>
      <c r="K72" s="67">
        <f t="shared" si="29"/>
        <v>0</v>
      </c>
      <c r="L72" s="68" t="e">
        <f t="shared" si="40"/>
        <v>#DIV/0!</v>
      </c>
      <c r="M72" s="65"/>
      <c r="N72" s="66"/>
      <c r="O72" s="67">
        <f t="shared" si="30"/>
        <v>0</v>
      </c>
      <c r="P72" s="65"/>
      <c r="Q72" s="66"/>
      <c r="R72" s="67">
        <f t="shared" si="31"/>
        <v>0</v>
      </c>
      <c r="S72" s="65"/>
      <c r="T72" s="66"/>
      <c r="U72" s="67">
        <f t="shared" si="32"/>
        <v>0</v>
      </c>
      <c r="V72" s="68" t="e">
        <f t="shared" si="41"/>
        <v>#DIV/0!</v>
      </c>
    </row>
    <row r="73" spans="1:22" ht="25.5" x14ac:dyDescent="0.25">
      <c r="A73" s="51" t="s">
        <v>103</v>
      </c>
      <c r="B73" s="64" t="s">
        <v>104</v>
      </c>
      <c r="C73" s="65">
        <v>2220</v>
      </c>
      <c r="D73" s="66">
        <v>1995</v>
      </c>
      <c r="E73" s="67">
        <f t="shared" si="42"/>
        <v>225</v>
      </c>
      <c r="F73" s="65">
        <v>2226</v>
      </c>
      <c r="G73" s="66">
        <v>2115</v>
      </c>
      <c r="H73" s="67">
        <f t="shared" si="28"/>
        <v>111</v>
      </c>
      <c r="I73" s="65">
        <f>14237.7</f>
        <v>14237.7</v>
      </c>
      <c r="J73" s="66">
        <f>7588.3</f>
        <v>7588.3</v>
      </c>
      <c r="K73" s="67">
        <f t="shared" si="29"/>
        <v>6649.4000000000005</v>
      </c>
      <c r="L73" s="68">
        <f t="shared" si="40"/>
        <v>29.552888888888891</v>
      </c>
      <c r="M73" s="65">
        <f>6537.7</f>
        <v>6537.7</v>
      </c>
      <c r="N73" s="66">
        <f>2933.3</f>
        <v>2933.3</v>
      </c>
      <c r="O73" s="67">
        <f t="shared" si="30"/>
        <v>3604.3999999999996</v>
      </c>
      <c r="P73" s="65"/>
      <c r="Q73" s="66"/>
      <c r="R73" s="67">
        <f t="shared" si="31"/>
        <v>0</v>
      </c>
      <c r="S73" s="65"/>
      <c r="T73" s="66"/>
      <c r="U73" s="67">
        <f t="shared" si="32"/>
        <v>0</v>
      </c>
      <c r="V73" s="68">
        <f t="shared" si="41"/>
        <v>0</v>
      </c>
    </row>
    <row r="74" spans="1:22" x14ac:dyDescent="0.25">
      <c r="A74" s="51" t="s">
        <v>209</v>
      </c>
      <c r="B74" s="64" t="s">
        <v>105</v>
      </c>
      <c r="C74" s="65">
        <v>620125.40263999999</v>
      </c>
      <c r="D74" s="66">
        <f>121216.1+70249.88832</f>
        <v>191465.98832</v>
      </c>
      <c r="E74" s="67">
        <f t="shared" si="42"/>
        <v>428659.41431999998</v>
      </c>
      <c r="F74" s="65">
        <v>581797</v>
      </c>
      <c r="G74" s="66">
        <v>146150</v>
      </c>
      <c r="H74" s="67">
        <f t="shared" si="28"/>
        <v>435647</v>
      </c>
      <c r="I74" s="65">
        <f>715876.7+95.8-268.546-6140+109502.32</f>
        <v>819066.27399999998</v>
      </c>
      <c r="J74" s="66">
        <f>217426+95.8</f>
        <v>217521.8</v>
      </c>
      <c r="K74" s="67">
        <f t="shared" si="29"/>
        <v>601544.47399999993</v>
      </c>
      <c r="L74" s="68">
        <f t="shared" si="40"/>
        <v>1.403315671846971</v>
      </c>
      <c r="M74" s="65">
        <f>536356.6+67718.38</f>
        <v>604074.98</v>
      </c>
      <c r="N74" s="66">
        <f>150526.3</f>
        <v>150526.29999999999</v>
      </c>
      <c r="O74" s="67">
        <f t="shared" si="30"/>
        <v>453548.68</v>
      </c>
      <c r="P74" s="65">
        <f>547083.732-127803.4+254577+34914.3</f>
        <v>708771.63199999998</v>
      </c>
      <c r="Q74" s="66">
        <f>153536.826-20000+153176</f>
        <v>286712.826</v>
      </c>
      <c r="R74" s="67">
        <f t="shared" si="31"/>
        <v>422058.80599999998</v>
      </c>
      <c r="S74" s="65">
        <f>4925+8798.3</f>
        <v>13723.3</v>
      </c>
      <c r="T74" s="66">
        <v>10005.299999999999</v>
      </c>
      <c r="U74" s="67">
        <f t="shared" si="32"/>
        <v>3718</v>
      </c>
      <c r="V74" s="68">
        <f t="shared" si="41"/>
        <v>8.673552652279936E-3</v>
      </c>
    </row>
    <row r="75" spans="1:22" x14ac:dyDescent="0.25">
      <c r="A75" s="51"/>
      <c r="B75" s="64" t="s">
        <v>7</v>
      </c>
      <c r="C75" s="65"/>
      <c r="D75" s="66"/>
      <c r="E75" s="67"/>
      <c r="F75" s="65"/>
      <c r="G75" s="66"/>
      <c r="H75" s="67"/>
      <c r="I75" s="65"/>
      <c r="J75" s="66"/>
      <c r="K75" s="67"/>
      <c r="L75" s="68"/>
      <c r="M75" s="65"/>
      <c r="N75" s="66"/>
      <c r="O75" s="67"/>
      <c r="P75" s="65"/>
      <c r="Q75" s="66"/>
      <c r="R75" s="67"/>
      <c r="S75" s="65"/>
      <c r="T75" s="66"/>
      <c r="U75" s="67"/>
      <c r="V75" s="68"/>
    </row>
    <row r="76" spans="1:22" ht="25.5" x14ac:dyDescent="0.25">
      <c r="A76" s="51"/>
      <c r="B76" s="64" t="s">
        <v>106</v>
      </c>
      <c r="C76" s="65">
        <f>113347.8+13185.41666</f>
        <v>126533.21666000001</v>
      </c>
      <c r="D76" s="66"/>
      <c r="E76" s="67">
        <f t="shared" ref="E76:E78" si="43">C76-D76</f>
        <v>126533.21666000001</v>
      </c>
      <c r="F76" s="65">
        <v>136571</v>
      </c>
      <c r="G76" s="66">
        <v>0</v>
      </c>
      <c r="H76" s="67">
        <f t="shared" ref="H76:H78" si="44">F76-G76</f>
        <v>136571</v>
      </c>
      <c r="I76" s="65">
        <f>146347.6+19521.9</f>
        <v>165869.5</v>
      </c>
      <c r="J76" s="66"/>
      <c r="K76" s="67">
        <f t="shared" ref="K76:K78" si="45">I76-J76</f>
        <v>165869.5</v>
      </c>
      <c r="L76" s="68">
        <f>K76/E76</f>
        <v>1.3108771307513523</v>
      </c>
      <c r="M76" s="65">
        <f>122943.2+14713.73</f>
        <v>137656.93</v>
      </c>
      <c r="N76" s="66"/>
      <c r="O76" s="67">
        <f t="shared" ref="O76:O78" si="46">M76-N76</f>
        <v>137656.93</v>
      </c>
      <c r="P76" s="65">
        <f>13339.66+146348</f>
        <v>159687.66</v>
      </c>
      <c r="Q76" s="66">
        <f>N76*1.06</f>
        <v>0</v>
      </c>
      <c r="R76" s="67">
        <f t="shared" ref="R76:R78" si="47">P76-Q76</f>
        <v>159687.66</v>
      </c>
      <c r="S76" s="65">
        <f>2811.8+925</f>
        <v>3736.8</v>
      </c>
      <c r="T76" s="66"/>
      <c r="U76" s="67">
        <f t="shared" ref="U76:U78" si="48">S76-T76</f>
        <v>3736.8</v>
      </c>
      <c r="V76" s="68">
        <f>U76/E76</f>
        <v>2.9532166324680868E-2</v>
      </c>
    </row>
    <row r="77" spans="1:22" ht="25.5" x14ac:dyDescent="0.25">
      <c r="A77" s="51"/>
      <c r="B77" s="64" t="s">
        <v>83</v>
      </c>
      <c r="C77" s="65">
        <f>136670.5+38791.94162</f>
        <v>175462.44162</v>
      </c>
      <c r="D77" s="66">
        <f>38877+34142.8477</f>
        <v>73019.847699999998</v>
      </c>
      <c r="E77" s="67">
        <f t="shared" si="43"/>
        <v>102442.59392</v>
      </c>
      <c r="F77" s="65">
        <v>149664</v>
      </c>
      <c r="G77" s="66">
        <v>81622</v>
      </c>
      <c r="H77" s="67">
        <f t="shared" si="44"/>
        <v>68042</v>
      </c>
      <c r="I77" s="65">
        <f>174374.9+9614.32</f>
        <v>183989.22</v>
      </c>
      <c r="J77" s="66">
        <f>13310.4</f>
        <v>13310.4</v>
      </c>
      <c r="K77" s="67">
        <f t="shared" si="45"/>
        <v>170678.82</v>
      </c>
      <c r="L77" s="68">
        <f>K77/E77</f>
        <v>1.666092330044741</v>
      </c>
      <c r="M77" s="65">
        <f>124075.6+9197.99</f>
        <v>133273.59</v>
      </c>
      <c r="N77" s="66">
        <f>14416.4</f>
        <v>14416.4</v>
      </c>
      <c r="O77" s="67">
        <f t="shared" si="46"/>
        <v>118857.19</v>
      </c>
      <c r="P77" s="65">
        <f>4357.68+127860.928</f>
        <v>132218.60800000001</v>
      </c>
      <c r="Q77" s="66">
        <f>J77</f>
        <v>13310.4</v>
      </c>
      <c r="R77" s="67">
        <f t="shared" si="47"/>
        <v>118908.20800000001</v>
      </c>
      <c r="S77" s="65">
        <f>207.6+6415.2</f>
        <v>6622.8</v>
      </c>
      <c r="T77" s="66">
        <v>4714.5</v>
      </c>
      <c r="U77" s="67">
        <f t="shared" si="48"/>
        <v>1908.3000000000002</v>
      </c>
      <c r="V77" s="68">
        <f>U77/E77</f>
        <v>1.8627993757071786E-2</v>
      </c>
    </row>
    <row r="78" spans="1:22" ht="25.5" x14ac:dyDescent="0.25">
      <c r="A78" s="51"/>
      <c r="B78" s="64" t="s">
        <v>84</v>
      </c>
      <c r="C78" s="65">
        <f>89885.5+12782.34959</f>
        <v>102667.84959</v>
      </c>
      <c r="D78" s="66">
        <f>33941.7+16286.00248</f>
        <v>50227.702479999993</v>
      </c>
      <c r="E78" s="67">
        <f t="shared" si="43"/>
        <v>52440.147110000005</v>
      </c>
      <c r="F78" s="65">
        <v>95279</v>
      </c>
      <c r="G78" s="66">
        <v>10600</v>
      </c>
      <c r="H78" s="67">
        <f t="shared" si="44"/>
        <v>84679</v>
      </c>
      <c r="I78" s="65">
        <f>114066.9+15480.31</f>
        <v>129547.20999999999</v>
      </c>
      <c r="J78" s="66">
        <f>80895.2</f>
        <v>80895.199999999997</v>
      </c>
      <c r="K78" s="67">
        <f t="shared" si="45"/>
        <v>48652.009999999995</v>
      </c>
      <c r="L78" s="68">
        <f>K78/E78</f>
        <v>0.92776265287635629</v>
      </c>
      <c r="M78" s="65">
        <f>92708.2+7101.79</f>
        <v>99809.989999999991</v>
      </c>
      <c r="N78" s="66">
        <f>56795.1</f>
        <v>56795.1</v>
      </c>
      <c r="O78" s="67">
        <f t="shared" si="46"/>
        <v>43014.889999999992</v>
      </c>
      <c r="P78" s="65">
        <f>415.9+95278.63</f>
        <v>95694.53</v>
      </c>
      <c r="Q78" s="66">
        <v>4300</v>
      </c>
      <c r="R78" s="67">
        <f t="shared" si="47"/>
        <v>91394.53</v>
      </c>
      <c r="S78" s="65"/>
      <c r="T78" s="66"/>
      <c r="U78" s="67">
        <f t="shared" si="48"/>
        <v>0</v>
      </c>
      <c r="V78" s="68">
        <f>U78/E78</f>
        <v>0</v>
      </c>
    </row>
    <row r="79" spans="1:22" ht="25.5" x14ac:dyDescent="0.25">
      <c r="A79" s="23" t="s">
        <v>107</v>
      </c>
      <c r="B79" s="31" t="s">
        <v>108</v>
      </c>
      <c r="C79" s="25">
        <v>103.36121</v>
      </c>
      <c r="D79" s="69"/>
      <c r="E79" s="38">
        <f t="shared" si="0"/>
        <v>103.36121</v>
      </c>
      <c r="F79" s="25">
        <v>225.3</v>
      </c>
      <c r="G79" s="69"/>
      <c r="H79" s="38">
        <f t="shared" si="28"/>
        <v>225.3</v>
      </c>
      <c r="I79" s="25">
        <v>80.697559999999996</v>
      </c>
      <c r="J79" s="69"/>
      <c r="K79" s="38">
        <f t="shared" si="29"/>
        <v>80.697559999999996</v>
      </c>
      <c r="L79" s="50">
        <f>K79/E79</f>
        <v>0.78073350727995539</v>
      </c>
      <c r="M79" s="25">
        <v>80.697559999999996</v>
      </c>
      <c r="N79" s="69"/>
      <c r="O79" s="38">
        <f t="shared" si="30"/>
        <v>80.697559999999996</v>
      </c>
      <c r="P79" s="25">
        <v>143.5</v>
      </c>
      <c r="Q79" s="69">
        <v>0</v>
      </c>
      <c r="R79" s="38">
        <f t="shared" si="31"/>
        <v>143.5</v>
      </c>
      <c r="S79" s="25">
        <v>0</v>
      </c>
      <c r="T79" s="69">
        <v>0</v>
      </c>
      <c r="U79" s="38">
        <f t="shared" si="32"/>
        <v>0</v>
      </c>
      <c r="V79" s="50">
        <f>U79/E79</f>
        <v>0</v>
      </c>
    </row>
    <row r="80" spans="1:22" ht="25.5" x14ac:dyDescent="0.25">
      <c r="A80" s="23" t="s">
        <v>109</v>
      </c>
      <c r="B80" s="31" t="s">
        <v>110</v>
      </c>
      <c r="C80" s="25">
        <f>C82+C83+C84+C85+659.2</f>
        <v>18038.02967</v>
      </c>
      <c r="D80" s="25">
        <f>D82+D83+D84+D85</f>
        <v>3321.84989</v>
      </c>
      <c r="E80" s="38">
        <f t="shared" si="0"/>
        <v>14716.17978</v>
      </c>
      <c r="F80" s="25">
        <f>F82+F83+F84+F85</f>
        <v>24238.799999999999</v>
      </c>
      <c r="G80" s="25">
        <f>G82+G83+G84+G85</f>
        <v>4031.1</v>
      </c>
      <c r="H80" s="38">
        <f t="shared" si="28"/>
        <v>20207.7</v>
      </c>
      <c r="I80" s="25">
        <f>I82+I83+I84+I85</f>
        <v>29179.586470000002</v>
      </c>
      <c r="J80" s="25">
        <f>J82+J83+J84+J85</f>
        <v>1657.2</v>
      </c>
      <c r="K80" s="38">
        <f t="shared" si="29"/>
        <v>27522.386470000001</v>
      </c>
      <c r="L80" s="50">
        <f>K80/E80</f>
        <v>1.8702127101901986</v>
      </c>
      <c r="M80" s="25">
        <f>M82+M83+M85+M84</f>
        <v>17009.11188</v>
      </c>
      <c r="N80" s="25">
        <f>N82+N83+N85+N84</f>
        <v>787.31399999999996</v>
      </c>
      <c r="O80" s="38">
        <f t="shared" si="30"/>
        <v>16221.79788</v>
      </c>
      <c r="P80" s="25">
        <f>P82+P84+P83+P85</f>
        <v>24921.737000000001</v>
      </c>
      <c r="Q80" s="25">
        <f>Q82+Q84+Q83+Q85</f>
        <v>2675.6000000000004</v>
      </c>
      <c r="R80" s="38">
        <f t="shared" si="31"/>
        <v>22246.137000000002</v>
      </c>
      <c r="S80" s="25">
        <f>S82+S83+S84+S85</f>
        <v>40.903879999999994</v>
      </c>
      <c r="T80" s="25">
        <f>T82+T83+T84+T85</f>
        <v>0</v>
      </c>
      <c r="U80" s="38">
        <f t="shared" si="32"/>
        <v>40.903879999999994</v>
      </c>
      <c r="V80" s="50">
        <f>U80/E80</f>
        <v>2.7795175522108218E-3</v>
      </c>
    </row>
    <row r="81" spans="1:22" x14ac:dyDescent="0.25">
      <c r="A81" s="23"/>
      <c r="B81" s="31" t="s">
        <v>17</v>
      </c>
      <c r="C81" s="25"/>
      <c r="D81" s="58"/>
      <c r="E81" s="38"/>
      <c r="F81" s="25"/>
      <c r="G81" s="58">
        <v>74.2</v>
      </c>
      <c r="H81" s="38"/>
      <c r="I81" s="25"/>
      <c r="J81" s="58"/>
      <c r="K81" s="38"/>
      <c r="L81" s="50"/>
      <c r="M81" s="25"/>
      <c r="N81" s="58"/>
      <c r="O81" s="38"/>
      <c r="P81" s="25"/>
      <c r="Q81" s="58"/>
      <c r="R81" s="38"/>
      <c r="S81" s="25"/>
      <c r="T81" s="69"/>
      <c r="U81" s="38"/>
      <c r="V81" s="50"/>
    </row>
    <row r="82" spans="1:22" ht="76.5" x14ac:dyDescent="0.25">
      <c r="A82" s="23"/>
      <c r="B82" s="31" t="s">
        <v>111</v>
      </c>
      <c r="C82" s="25">
        <f>34239.59764-C101</f>
        <v>14794.12025</v>
      </c>
      <c r="D82" s="58">
        <f>1567.5-D101</f>
        <v>1567.5</v>
      </c>
      <c r="E82" s="38">
        <f t="shared" si="0"/>
        <v>13226.62025</v>
      </c>
      <c r="F82" s="25">
        <v>174.2</v>
      </c>
      <c r="G82" s="58">
        <v>74.2</v>
      </c>
      <c r="H82" s="38">
        <f t="shared" si="28"/>
        <v>99.999999999999986</v>
      </c>
      <c r="I82" s="25">
        <v>15094.773999999999</v>
      </c>
      <c r="J82" s="58"/>
      <c r="K82" s="38">
        <f t="shared" si="29"/>
        <v>15094.773999999999</v>
      </c>
      <c r="L82" s="50">
        <f t="shared" ref="L82:L87" si="49">K82/E82</f>
        <v>1.1412419586175084</v>
      </c>
      <c r="M82" s="25">
        <v>15094.77303</v>
      </c>
      <c r="N82" s="58"/>
      <c r="O82" s="38">
        <f t="shared" si="30"/>
        <v>15094.77303</v>
      </c>
      <c r="P82" s="25">
        <v>2110.3000000000002</v>
      </c>
      <c r="Q82" s="58">
        <v>78.3</v>
      </c>
      <c r="R82" s="38">
        <f t="shared" si="31"/>
        <v>2032.0000000000002</v>
      </c>
      <c r="S82" s="25">
        <v>0</v>
      </c>
      <c r="T82" s="69"/>
      <c r="U82" s="38">
        <f t="shared" si="32"/>
        <v>0</v>
      </c>
      <c r="V82" s="50">
        <f t="shared" ref="V82:V87" si="50">U82/E82</f>
        <v>0</v>
      </c>
    </row>
    <row r="83" spans="1:22" ht="25.5" x14ac:dyDescent="0.25">
      <c r="A83" s="23"/>
      <c r="B83" s="31" t="s">
        <v>112</v>
      </c>
      <c r="C83" s="25">
        <f>475.05475-C102</f>
        <v>325.05475000000001</v>
      </c>
      <c r="D83" s="58">
        <f>0</f>
        <v>0</v>
      </c>
      <c r="E83" s="38">
        <f t="shared" si="0"/>
        <v>325.05475000000001</v>
      </c>
      <c r="F83" s="25"/>
      <c r="G83" s="58"/>
      <c r="H83" s="38">
        <f t="shared" si="28"/>
        <v>0</v>
      </c>
      <c r="I83" s="25">
        <f>329.61133-I102</f>
        <v>327.61133000000001</v>
      </c>
      <c r="J83" s="58"/>
      <c r="K83" s="38">
        <f t="shared" si="29"/>
        <v>327.61133000000001</v>
      </c>
      <c r="L83" s="50">
        <f t="shared" si="49"/>
        <v>1.007865075037359</v>
      </c>
      <c r="M83" s="25">
        <f>318.16656-M102</f>
        <v>316.16656</v>
      </c>
      <c r="N83" s="58"/>
      <c r="O83" s="38">
        <f t="shared" si="30"/>
        <v>316.16656</v>
      </c>
      <c r="P83" s="25"/>
      <c r="Q83" s="58"/>
      <c r="R83" s="38">
        <f t="shared" si="31"/>
        <v>0</v>
      </c>
      <c r="S83" s="25">
        <v>0.41937999999999998</v>
      </c>
      <c r="T83" s="69"/>
      <c r="U83" s="38">
        <f t="shared" si="32"/>
        <v>0.41937999999999998</v>
      </c>
      <c r="V83" s="50">
        <f t="shared" si="50"/>
        <v>1.2901826538452368E-3</v>
      </c>
    </row>
    <row r="84" spans="1:22" ht="25.5" x14ac:dyDescent="0.25">
      <c r="A84" s="23"/>
      <c r="B84" s="31" t="s">
        <v>113</v>
      </c>
      <c r="C84" s="25">
        <f>2849.35958-C103</f>
        <v>2259.6546699999999</v>
      </c>
      <c r="D84" s="58">
        <f>1754.34989-D103</f>
        <v>1754.34989</v>
      </c>
      <c r="E84" s="38">
        <f t="shared" si="0"/>
        <v>505.30477999999994</v>
      </c>
      <c r="F84" s="25">
        <v>4064.6</v>
      </c>
      <c r="G84" s="58">
        <v>3956.9</v>
      </c>
      <c r="H84" s="38">
        <f t="shared" si="28"/>
        <v>107.69999999999982</v>
      </c>
      <c r="I84" s="25">
        <f>4384.20236-I103</f>
        <v>2479.10257</v>
      </c>
      <c r="J84" s="58">
        <v>1657.2</v>
      </c>
      <c r="K84" s="38">
        <f t="shared" si="29"/>
        <v>821.90256999999997</v>
      </c>
      <c r="L84" s="50">
        <f t="shared" si="49"/>
        <v>1.6265481794967387</v>
      </c>
      <c r="M84" s="25">
        <f>3478.59777-M103</f>
        <v>1598.1722899999997</v>
      </c>
      <c r="N84" s="58">
        <v>787.31399999999996</v>
      </c>
      <c r="O84" s="38">
        <f t="shared" si="30"/>
        <v>810.85828999999978</v>
      </c>
      <c r="P84" s="25">
        <f>214.137+2597.3</f>
        <v>2811.4370000000004</v>
      </c>
      <c r="Q84" s="58">
        <v>2597.3000000000002</v>
      </c>
      <c r="R84" s="38">
        <f t="shared" si="31"/>
        <v>214.13700000000017</v>
      </c>
      <c r="S84" s="25">
        <v>40.484499999999997</v>
      </c>
      <c r="T84" s="69"/>
      <c r="U84" s="38">
        <f t="shared" si="32"/>
        <v>40.484499999999997</v>
      </c>
      <c r="V84" s="50">
        <f t="shared" si="50"/>
        <v>8.0118972949355438E-2</v>
      </c>
    </row>
    <row r="85" spans="1:22" x14ac:dyDescent="0.25">
      <c r="A85" s="23"/>
      <c r="B85" s="31" t="s">
        <v>114</v>
      </c>
      <c r="C85" s="25"/>
      <c r="D85" s="58"/>
      <c r="E85" s="38">
        <f t="shared" si="0"/>
        <v>0</v>
      </c>
      <c r="F85" s="25">
        <v>20000</v>
      </c>
      <c r="G85" s="58"/>
      <c r="H85" s="38">
        <f t="shared" si="28"/>
        <v>20000</v>
      </c>
      <c r="I85" s="25">
        <v>11278.09857</v>
      </c>
      <c r="J85" s="58"/>
      <c r="K85" s="38">
        <f t="shared" si="29"/>
        <v>11278.09857</v>
      </c>
      <c r="L85" s="50" t="e">
        <f t="shared" si="49"/>
        <v>#DIV/0!</v>
      </c>
      <c r="M85" s="25">
        <v>0</v>
      </c>
      <c r="N85" s="58"/>
      <c r="O85" s="38">
        <f t="shared" si="30"/>
        <v>0</v>
      </c>
      <c r="P85" s="25">
        <v>20000</v>
      </c>
      <c r="Q85" s="58"/>
      <c r="R85" s="38">
        <f t="shared" si="31"/>
        <v>20000</v>
      </c>
      <c r="S85" s="25"/>
      <c r="T85" s="69"/>
      <c r="U85" s="38">
        <f t="shared" si="32"/>
        <v>0</v>
      </c>
      <c r="V85" s="50" t="e">
        <f t="shared" si="50"/>
        <v>#DIV/0!</v>
      </c>
    </row>
    <row r="86" spans="1:22" x14ac:dyDescent="0.25">
      <c r="A86" s="14" t="s">
        <v>115</v>
      </c>
      <c r="B86" s="70" t="s">
        <v>116</v>
      </c>
      <c r="C86" s="49">
        <f>C87+C91+C96+C97+C98+C99</f>
        <v>453424.80467999994</v>
      </c>
      <c r="D86" s="49">
        <f>D87+D91+D96+D97+D98+D99</f>
        <v>226478.71205999999</v>
      </c>
      <c r="E86" s="38">
        <f t="shared" si="0"/>
        <v>226946.09261999995</v>
      </c>
      <c r="F86" s="49">
        <f>F87+F91+F96+F97+F98+F99</f>
        <v>259155.31667000003</v>
      </c>
      <c r="G86" s="49">
        <f>G87+G91+G96+G97+G98+G99</f>
        <v>52104.466699999997</v>
      </c>
      <c r="H86" s="38">
        <f t="shared" si="28"/>
        <v>207050.84997000004</v>
      </c>
      <c r="I86" s="49">
        <f>I87+I91+I96+I97+I98+I99</f>
        <v>295293.65815000003</v>
      </c>
      <c r="J86" s="49">
        <f>J87+J91+J96+J97+J98+J99</f>
        <v>96983.437959999996</v>
      </c>
      <c r="K86" s="38">
        <f t="shared" si="29"/>
        <v>198310.22019000002</v>
      </c>
      <c r="L86" s="50">
        <f t="shared" si="49"/>
        <v>0.87382081753684115</v>
      </c>
      <c r="M86" s="49">
        <f>M87+M91+M96+M97+M98+M99</f>
        <v>286804.62480999995</v>
      </c>
      <c r="N86" s="49">
        <f>N87+N91+N96+N97+N98+N99</f>
        <v>91184.104219999994</v>
      </c>
      <c r="O86" s="38">
        <f t="shared" si="30"/>
        <v>195620.52058999997</v>
      </c>
      <c r="P86" s="49">
        <f>P87+P91+P96+P97+P98+P99</f>
        <v>279468.01519999997</v>
      </c>
      <c r="Q86" s="49">
        <f>Q87+Q91+Q96+Q97+Q98+Q99</f>
        <v>43787.035199999998</v>
      </c>
      <c r="R86" s="38">
        <f t="shared" si="31"/>
        <v>235680.97999999998</v>
      </c>
      <c r="S86" s="49">
        <f>S87+S91+S96+S97+S98+S99</f>
        <v>9234.2999999999993</v>
      </c>
      <c r="T86" s="49">
        <f>T87+T91+T96+T97+T98+T99</f>
        <v>0</v>
      </c>
      <c r="U86" s="38">
        <f t="shared" si="32"/>
        <v>9234.2999999999993</v>
      </c>
      <c r="V86" s="50">
        <f t="shared" si="50"/>
        <v>4.0689398497210406E-2</v>
      </c>
    </row>
    <row r="87" spans="1:22" ht="38.25" x14ac:dyDescent="0.25">
      <c r="A87" s="23" t="s">
        <v>117</v>
      </c>
      <c r="B87" s="31" t="s">
        <v>118</v>
      </c>
      <c r="C87" s="25">
        <f>C89+C90+96.84685+79.1169+226.52726+812.75543</f>
        <v>73344.141279999996</v>
      </c>
      <c r="D87" s="25">
        <f>D89+D90</f>
        <v>0</v>
      </c>
      <c r="E87" s="38">
        <f>C87-D87</f>
        <v>73344.141279999996</v>
      </c>
      <c r="F87" s="25">
        <f>F89+F90+1597.6</f>
        <v>81416.700000000012</v>
      </c>
      <c r="G87" s="58">
        <f>G89+G90</f>
        <v>0</v>
      </c>
      <c r="H87" s="38">
        <f t="shared" si="28"/>
        <v>81416.700000000012</v>
      </c>
      <c r="I87" s="25">
        <f>I89+I90+159.99967+331.46179+673.26366+245.80229</f>
        <v>84183.953780000011</v>
      </c>
      <c r="J87" s="58"/>
      <c r="K87" s="38">
        <f t="shared" si="29"/>
        <v>84183.953780000011</v>
      </c>
      <c r="L87" s="50">
        <f t="shared" si="49"/>
        <v>1.1477938429821919</v>
      </c>
      <c r="M87" s="25">
        <f>M89+M90+159.99967+331.46179+653.71911+245.80229</f>
        <v>83475.529530000014</v>
      </c>
      <c r="N87" s="58"/>
      <c r="O87" s="38">
        <f t="shared" si="30"/>
        <v>83475.529530000014</v>
      </c>
      <c r="P87" s="25">
        <f>P89+P90+2265</f>
        <v>91462.646000000008</v>
      </c>
      <c r="Q87" s="25">
        <f>Q89+Q90</f>
        <v>0</v>
      </c>
      <c r="R87" s="38">
        <f t="shared" si="31"/>
        <v>91462.646000000008</v>
      </c>
      <c r="S87" s="25">
        <f>S89+S90</f>
        <v>1779</v>
      </c>
      <c r="T87" s="58"/>
      <c r="U87" s="38">
        <f t="shared" si="32"/>
        <v>1779</v>
      </c>
      <c r="V87" s="50">
        <f t="shared" si="50"/>
        <v>2.4255516104666842E-2</v>
      </c>
    </row>
    <row r="88" spans="1:22" x14ac:dyDescent="0.25">
      <c r="A88" s="23"/>
      <c r="B88" s="31" t="s">
        <v>17</v>
      </c>
      <c r="C88" s="25"/>
      <c r="D88" s="58"/>
      <c r="E88" s="38"/>
      <c r="F88" s="25"/>
      <c r="G88" s="58"/>
      <c r="H88" s="38"/>
      <c r="I88" s="25"/>
      <c r="J88" s="58"/>
      <c r="K88" s="38"/>
      <c r="L88" s="50"/>
      <c r="M88" s="25"/>
      <c r="N88" s="58"/>
      <c r="O88" s="38"/>
      <c r="P88" s="25"/>
      <c r="Q88" s="58"/>
      <c r="R88" s="38"/>
      <c r="S88" s="25"/>
      <c r="T88" s="58"/>
      <c r="U88" s="38"/>
      <c r="V88" s="50"/>
    </row>
    <row r="89" spans="1:22" ht="25.5" x14ac:dyDescent="0.25">
      <c r="A89" s="23"/>
      <c r="B89" s="31" t="s">
        <v>119</v>
      </c>
      <c r="C89" s="25">
        <f>5882.59945+7914.98347+8341.43952+33351.95902</f>
        <v>55490.981460000003</v>
      </c>
      <c r="D89" s="58"/>
      <c r="E89" s="38">
        <f>C89-D89</f>
        <v>55490.981460000003</v>
      </c>
      <c r="F89" s="25">
        <v>61316.51</v>
      </c>
      <c r="G89" s="58"/>
      <c r="H89" s="38">
        <f t="shared" si="28"/>
        <v>61316.51</v>
      </c>
      <c r="I89" s="25">
        <f>4554.75911+11444.90264+38746.23634+9161.53707</f>
        <v>63907.435160000001</v>
      </c>
      <c r="J89" s="58"/>
      <c r="K89" s="38">
        <f t="shared" si="29"/>
        <v>63907.435160000001</v>
      </c>
      <c r="L89" s="50">
        <f>K89/E89</f>
        <v>1.1516724606153685</v>
      </c>
      <c r="M89" s="25">
        <f>4411.08451+11324.7584+38493.48516+9056.59793</f>
        <v>63285.925999999992</v>
      </c>
      <c r="N89" s="58"/>
      <c r="O89" s="38">
        <f t="shared" si="30"/>
        <v>63285.925999999992</v>
      </c>
      <c r="P89" s="25">
        <v>68313.600000000006</v>
      </c>
      <c r="Q89" s="58">
        <f>T89-N89</f>
        <v>0</v>
      </c>
      <c r="R89" s="38">
        <f t="shared" si="31"/>
        <v>68313.600000000006</v>
      </c>
      <c r="S89" s="25">
        <v>1366.5</v>
      </c>
      <c r="T89" s="58"/>
      <c r="U89" s="38">
        <f t="shared" si="32"/>
        <v>1366.5</v>
      </c>
      <c r="V89" s="50">
        <f>U89/E89</f>
        <v>2.4625623192212322E-2</v>
      </c>
    </row>
    <row r="90" spans="1:22" ht="25.5" x14ac:dyDescent="0.25">
      <c r="A90" s="23"/>
      <c r="B90" s="31" t="s">
        <v>120</v>
      </c>
      <c r="C90" s="25">
        <f>1762.55291+2351.94651+2512.16484+10011.24912</f>
        <v>16637.913379999998</v>
      </c>
      <c r="D90" s="58"/>
      <c r="E90" s="38">
        <f>C90-D90</f>
        <v>16637.913379999998</v>
      </c>
      <c r="F90" s="25">
        <v>18502.59</v>
      </c>
      <c r="G90" s="58"/>
      <c r="H90" s="38">
        <f t="shared" si="28"/>
        <v>18502.59</v>
      </c>
      <c r="I90" s="25">
        <f>2726.26198+11519.8+3425.28521+1194.64402</f>
        <v>18865.99121</v>
      </c>
      <c r="J90" s="58"/>
      <c r="K90" s="38">
        <f t="shared" si="29"/>
        <v>18865.99121</v>
      </c>
      <c r="L90" s="50">
        <f>K90/E90</f>
        <v>1.1339157007920426</v>
      </c>
      <c r="M90" s="25">
        <f>2709.411+11500.05351+3394.51214+1194.64402</f>
        <v>18798.62067</v>
      </c>
      <c r="N90" s="58"/>
      <c r="O90" s="38">
        <f t="shared" si="30"/>
        <v>18798.62067</v>
      </c>
      <c r="P90" s="25">
        <v>20884.045999999998</v>
      </c>
      <c r="Q90" s="58">
        <f t="shared" ref="Q90" si="51">T90-N90</f>
        <v>0</v>
      </c>
      <c r="R90" s="38">
        <f t="shared" si="31"/>
        <v>20884.045999999998</v>
      </c>
      <c r="S90" s="25">
        <v>412.5</v>
      </c>
      <c r="T90" s="58"/>
      <c r="U90" s="38">
        <f t="shared" si="32"/>
        <v>412.5</v>
      </c>
      <c r="V90" s="50">
        <f>U90/E90</f>
        <v>2.4792772421561918E-2</v>
      </c>
    </row>
    <row r="91" spans="1:22" ht="25.5" x14ac:dyDescent="0.25">
      <c r="A91" s="23" t="s">
        <v>121</v>
      </c>
      <c r="B91" s="31" t="s">
        <v>122</v>
      </c>
      <c r="C91" s="25">
        <f>326153.8129+373.963+939.63711+31431.01316</f>
        <v>358898.42616999999</v>
      </c>
      <c r="D91" s="58">
        <v>226478.71205999999</v>
      </c>
      <c r="E91" s="38">
        <f t="shared" si="0"/>
        <v>132419.71411</v>
      </c>
      <c r="F91" s="25">
        <v>162724.91667000001</v>
      </c>
      <c r="G91" s="58">
        <v>52104.466699999997</v>
      </c>
      <c r="H91" s="38">
        <f t="shared" si="28"/>
        <v>110620.44997000002</v>
      </c>
      <c r="I91" s="25">
        <f>181525.48337+2205.85036+24960.66485+510.606</f>
        <v>209202.60458000001</v>
      </c>
      <c r="J91" s="58">
        <v>96983.437959999996</v>
      </c>
      <c r="K91" s="38">
        <f t="shared" si="29"/>
        <v>112219.16662000002</v>
      </c>
      <c r="L91" s="50">
        <f>K91/E91</f>
        <v>0.84745060336545097</v>
      </c>
      <c r="M91" s="25">
        <f>174663.48062+2136.80995+24135.77323+510.606</f>
        <v>201446.66979999997</v>
      </c>
      <c r="N91" s="58">
        <v>91184.104219999994</v>
      </c>
      <c r="O91" s="38">
        <f t="shared" si="30"/>
        <v>110262.56557999998</v>
      </c>
      <c r="P91" s="25">
        <f>1500+13246.58827+6275.11173+5+568.1+7467.08+27.5+600+895.7377+280.7163+3133.024+1146.50467+6300+40631.4112+2138.49533+10000+42000+150.1+35000+7933.3+8085.8+5</f>
        <v>187389.46919999999</v>
      </c>
      <c r="Q91" s="58">
        <f>3133.024+40631.4112</f>
        <v>43764.4352</v>
      </c>
      <c r="R91" s="38">
        <f t="shared" si="31"/>
        <v>143625.03399999999</v>
      </c>
      <c r="S91" s="25">
        <v>7452.3</v>
      </c>
      <c r="T91" s="58"/>
      <c r="U91" s="38">
        <f t="shared" si="32"/>
        <v>7452.3</v>
      </c>
      <c r="V91" s="50">
        <f>U91/E91</f>
        <v>5.6277874107245343E-2</v>
      </c>
    </row>
    <row r="92" spans="1:22" x14ac:dyDescent="0.25">
      <c r="A92" s="51"/>
      <c r="B92" s="31" t="s">
        <v>7</v>
      </c>
      <c r="C92" s="25"/>
      <c r="D92" s="25"/>
      <c r="E92" s="38"/>
      <c r="F92" s="25"/>
      <c r="G92" s="25"/>
      <c r="H92" s="38"/>
      <c r="I92" s="25"/>
      <c r="J92" s="25"/>
      <c r="K92" s="38"/>
      <c r="L92" s="50"/>
      <c r="M92" s="25"/>
      <c r="N92" s="25"/>
      <c r="O92" s="38"/>
      <c r="P92" s="25"/>
      <c r="Q92" s="58"/>
      <c r="R92" s="38"/>
      <c r="S92" s="25"/>
      <c r="T92" s="58"/>
      <c r="U92" s="38"/>
      <c r="V92" s="50"/>
    </row>
    <row r="93" spans="1:22" ht="21" customHeight="1" x14ac:dyDescent="0.25">
      <c r="A93" s="23"/>
      <c r="B93" s="31" t="s">
        <v>106</v>
      </c>
      <c r="C93" s="25">
        <f>1.49894+6058.3827</f>
        <v>6059.8816400000005</v>
      </c>
      <c r="D93" s="58"/>
      <c r="E93" s="38">
        <f t="shared" ref="E93:E95" si="52">C93-D93</f>
        <v>6059.8816400000005</v>
      </c>
      <c r="F93" s="25">
        <f>6088</f>
        <v>6088</v>
      </c>
      <c r="G93" s="58"/>
      <c r="H93" s="38">
        <f t="shared" ref="H93:H95" si="53">F93-G93</f>
        <v>6088</v>
      </c>
      <c r="I93" s="25">
        <f>4.191+6763.406+13231.4</f>
        <v>19998.996999999999</v>
      </c>
      <c r="J93" s="58"/>
      <c r="K93" s="38">
        <f t="shared" ref="K93:K95" si="54">I93-J93</f>
        <v>19998.996999999999</v>
      </c>
      <c r="L93" s="50"/>
      <c r="M93" s="25">
        <f>3.252+6640.816+12974</f>
        <v>19618.067999999999</v>
      </c>
      <c r="N93" s="58"/>
      <c r="O93" s="38">
        <f t="shared" ref="O93:O95" si="55">M93-N93</f>
        <v>19618.067999999999</v>
      </c>
      <c r="P93" s="25">
        <f>6440.478+284.799</f>
        <v>6725.277</v>
      </c>
      <c r="Q93" s="58"/>
      <c r="R93" s="38">
        <f t="shared" ref="R93:R95" si="56">P93-Q93</f>
        <v>6725.277</v>
      </c>
      <c r="S93" s="25">
        <v>2001.7</v>
      </c>
      <c r="T93" s="58"/>
      <c r="U93" s="38">
        <f t="shared" ref="U93:U95" si="57">S93-T93</f>
        <v>2001.7</v>
      </c>
      <c r="V93" s="50"/>
    </row>
    <row r="94" spans="1:22" ht="25.5" x14ac:dyDescent="0.25">
      <c r="A94" s="23"/>
      <c r="B94" s="31" t="s">
        <v>83</v>
      </c>
      <c r="C94" s="25">
        <f>195129.38551+6020.49415</f>
        <v>201149.87966000001</v>
      </c>
      <c r="D94" s="58">
        <f>130351.76211</f>
        <v>130351.76211</v>
      </c>
      <c r="E94" s="38">
        <f t="shared" si="52"/>
        <v>70798.11755000001</v>
      </c>
      <c r="F94" s="25">
        <f>2499</f>
        <v>2499</v>
      </c>
      <c r="G94" s="58"/>
      <c r="H94" s="38">
        <f t="shared" si="53"/>
        <v>2499</v>
      </c>
      <c r="I94" s="25">
        <f>845.037+3255.837+4434.8</f>
        <v>8535.6739999999991</v>
      </c>
      <c r="J94" s="58"/>
      <c r="K94" s="38">
        <f t="shared" si="54"/>
        <v>8535.6739999999991</v>
      </c>
      <c r="L94" s="50">
        <f t="shared" ref="L94:L99" si="58">K94/E94</f>
        <v>0.1205635728092886</v>
      </c>
      <c r="M94" s="25">
        <f>845.037+3219.503+4090</f>
        <v>8154.54</v>
      </c>
      <c r="N94" s="58"/>
      <c r="O94" s="38">
        <f t="shared" si="55"/>
        <v>8154.54</v>
      </c>
      <c r="P94" s="25">
        <f>11+6883.209+122264</f>
        <v>129158.209</v>
      </c>
      <c r="Q94" s="58">
        <v>40631.4</v>
      </c>
      <c r="R94" s="38">
        <f t="shared" si="56"/>
        <v>88526.809000000008</v>
      </c>
      <c r="S94" s="25">
        <v>315.2</v>
      </c>
      <c r="T94" s="58"/>
      <c r="U94" s="38">
        <f t="shared" si="57"/>
        <v>315.2</v>
      </c>
      <c r="V94" s="50">
        <f t="shared" ref="V94:V99" si="59">U94/E94</f>
        <v>4.452095774684901E-3</v>
      </c>
    </row>
    <row r="95" spans="1:22" ht="25.5" x14ac:dyDescent="0.25">
      <c r="A95" s="23"/>
      <c r="B95" s="31" t="s">
        <v>84</v>
      </c>
      <c r="C95" s="25">
        <f>9443.56402+9671.691</f>
        <v>19115.255020000001</v>
      </c>
      <c r="D95" s="58"/>
      <c r="E95" s="38">
        <f t="shared" si="52"/>
        <v>19115.255020000001</v>
      </c>
      <c r="F95" s="25">
        <f>1011</f>
        <v>1011</v>
      </c>
      <c r="G95" s="58"/>
      <c r="H95" s="38">
        <f t="shared" si="53"/>
        <v>1011</v>
      </c>
      <c r="I95" s="25">
        <f>447.308+1439.578</f>
        <v>1886.886</v>
      </c>
      <c r="J95" s="58"/>
      <c r="K95" s="38">
        <f t="shared" si="54"/>
        <v>1886.886</v>
      </c>
      <c r="L95" s="50">
        <f t="shared" si="58"/>
        <v>9.8711003228875563E-2</v>
      </c>
      <c r="M95" s="25">
        <f>447.308+1439.553</f>
        <v>1886.8610000000001</v>
      </c>
      <c r="N95" s="58"/>
      <c r="O95" s="38">
        <f t="shared" si="55"/>
        <v>1886.8610000000001</v>
      </c>
      <c r="P95" s="25">
        <f>1878.08+169.49+4952.4</f>
        <v>6999.9699999999993</v>
      </c>
      <c r="Q95" s="58"/>
      <c r="R95" s="38">
        <f t="shared" si="56"/>
        <v>6999.9699999999993</v>
      </c>
      <c r="S95" s="25">
        <v>25</v>
      </c>
      <c r="T95" s="58"/>
      <c r="U95" s="38">
        <f t="shared" si="57"/>
        <v>25</v>
      </c>
      <c r="V95" s="50">
        <f t="shared" si="59"/>
        <v>1.3078559492846358E-3</v>
      </c>
    </row>
    <row r="96" spans="1:22" ht="25.5" x14ac:dyDescent="0.25">
      <c r="A96" s="23" t="s">
        <v>123</v>
      </c>
      <c r="B96" s="31" t="s">
        <v>124</v>
      </c>
      <c r="C96" s="25">
        <f>28.0121+969.04283</f>
        <v>997.05493000000001</v>
      </c>
      <c r="D96" s="58"/>
      <c r="E96" s="38">
        <f t="shared" si="0"/>
        <v>997.05493000000001</v>
      </c>
      <c r="F96" s="25">
        <v>122.6</v>
      </c>
      <c r="G96" s="58"/>
      <c r="H96" s="38">
        <f t="shared" si="28"/>
        <v>122.6</v>
      </c>
      <c r="I96" s="25"/>
      <c r="J96" s="58"/>
      <c r="K96" s="38">
        <f t="shared" si="29"/>
        <v>0</v>
      </c>
      <c r="L96" s="50">
        <f t="shared" si="58"/>
        <v>0</v>
      </c>
      <c r="M96" s="25"/>
      <c r="N96" s="58"/>
      <c r="O96" s="38">
        <f t="shared" si="30"/>
        <v>0</v>
      </c>
      <c r="P96" s="25">
        <v>22.6</v>
      </c>
      <c r="Q96" s="58">
        <v>22.6</v>
      </c>
      <c r="R96" s="38">
        <f t="shared" si="31"/>
        <v>0</v>
      </c>
      <c r="S96" s="25"/>
      <c r="T96" s="58"/>
      <c r="U96" s="38">
        <f t="shared" si="32"/>
        <v>0</v>
      </c>
      <c r="V96" s="50">
        <f t="shared" si="59"/>
        <v>0</v>
      </c>
    </row>
    <row r="97" spans="1:22" ht="25.5" x14ac:dyDescent="0.25">
      <c r="A97" s="23" t="s">
        <v>125</v>
      </c>
      <c r="B97" s="31" t="s">
        <v>126</v>
      </c>
      <c r="C97" s="25"/>
      <c r="D97" s="58"/>
      <c r="E97" s="38">
        <f t="shared" si="0"/>
        <v>0</v>
      </c>
      <c r="F97" s="25">
        <v>14228.4</v>
      </c>
      <c r="G97" s="58"/>
      <c r="H97" s="38">
        <f t="shared" si="28"/>
        <v>14228.4</v>
      </c>
      <c r="I97" s="25"/>
      <c r="J97" s="58"/>
      <c r="K97" s="38">
        <f t="shared" si="29"/>
        <v>0</v>
      </c>
      <c r="L97" s="50" t="e">
        <f t="shared" si="58"/>
        <v>#DIV/0!</v>
      </c>
      <c r="M97" s="25"/>
      <c r="N97" s="58"/>
      <c r="O97" s="38">
        <f t="shared" si="30"/>
        <v>0</v>
      </c>
      <c r="P97" s="25"/>
      <c r="Q97" s="58"/>
      <c r="R97" s="38">
        <f t="shared" si="31"/>
        <v>0</v>
      </c>
      <c r="S97" s="25"/>
      <c r="T97" s="58"/>
      <c r="U97" s="38">
        <f t="shared" si="32"/>
        <v>0</v>
      </c>
      <c r="V97" s="50" t="e">
        <f t="shared" si="59"/>
        <v>#DIV/0!</v>
      </c>
    </row>
    <row r="98" spans="1:22" x14ac:dyDescent="0.25">
      <c r="A98" s="23" t="s">
        <v>127</v>
      </c>
      <c r="B98" s="31" t="s">
        <v>90</v>
      </c>
      <c r="C98" s="25"/>
      <c r="D98" s="58"/>
      <c r="E98" s="38">
        <f t="shared" si="0"/>
        <v>0</v>
      </c>
      <c r="F98" s="25"/>
      <c r="G98" s="58"/>
      <c r="H98" s="38">
        <f t="shared" si="28"/>
        <v>0</v>
      </c>
      <c r="I98" s="25"/>
      <c r="J98" s="58"/>
      <c r="K98" s="38">
        <f t="shared" si="29"/>
        <v>0</v>
      </c>
      <c r="L98" s="50" t="e">
        <f t="shared" si="58"/>
        <v>#DIV/0!</v>
      </c>
      <c r="M98" s="25"/>
      <c r="N98" s="58"/>
      <c r="O98" s="38">
        <f t="shared" si="30"/>
        <v>0</v>
      </c>
      <c r="P98" s="25"/>
      <c r="Q98" s="58"/>
      <c r="R98" s="38">
        <f t="shared" si="31"/>
        <v>0</v>
      </c>
      <c r="S98" s="25"/>
      <c r="T98" s="58"/>
      <c r="U98" s="38">
        <f t="shared" si="32"/>
        <v>0</v>
      </c>
      <c r="V98" s="50" t="e">
        <f t="shared" si="59"/>
        <v>#DIV/0!</v>
      </c>
    </row>
    <row r="99" spans="1:22" x14ac:dyDescent="0.25">
      <c r="A99" s="23" t="s">
        <v>128</v>
      </c>
      <c r="B99" s="31" t="s">
        <v>129</v>
      </c>
      <c r="C99" s="25">
        <f>C101+C102+C103</f>
        <v>20185.1823</v>
      </c>
      <c r="D99" s="25">
        <f>D101+D102+D103</f>
        <v>0</v>
      </c>
      <c r="E99" s="38">
        <f t="shared" si="0"/>
        <v>20185.1823</v>
      </c>
      <c r="F99" s="25">
        <f>F101+F102+F103</f>
        <v>662.7</v>
      </c>
      <c r="G99" s="69"/>
      <c r="H99" s="38">
        <f t="shared" si="28"/>
        <v>662.7</v>
      </c>
      <c r="I99" s="25">
        <f>I101+I102+I103</f>
        <v>1907.09979</v>
      </c>
      <c r="J99" s="69">
        <f>J101+J102+J103</f>
        <v>0</v>
      </c>
      <c r="K99" s="38">
        <f t="shared" si="29"/>
        <v>1907.09979</v>
      </c>
      <c r="L99" s="50">
        <f t="shared" si="58"/>
        <v>9.4480186587167947E-2</v>
      </c>
      <c r="M99" s="25">
        <f>M101+M102+M103</f>
        <v>1882.4254800000001</v>
      </c>
      <c r="N99" s="69">
        <f>N101+N102+N103</f>
        <v>0</v>
      </c>
      <c r="O99" s="38">
        <f t="shared" si="30"/>
        <v>1882.4254800000001</v>
      </c>
      <c r="P99" s="25">
        <f>P101+P102+P103</f>
        <v>593.30000000000007</v>
      </c>
      <c r="Q99" s="69">
        <f>Q101+Q102+Q103</f>
        <v>0</v>
      </c>
      <c r="R99" s="38">
        <f t="shared" si="31"/>
        <v>593.30000000000007</v>
      </c>
      <c r="S99" s="25">
        <f>S101+S102+S103</f>
        <v>3</v>
      </c>
      <c r="T99" s="58">
        <f t="shared" ref="T99" si="60">J99</f>
        <v>0</v>
      </c>
      <c r="U99" s="38">
        <f t="shared" si="32"/>
        <v>3</v>
      </c>
      <c r="V99" s="50">
        <f t="shared" si="59"/>
        <v>1.4862387445467858E-4</v>
      </c>
    </row>
    <row r="100" spans="1:22" x14ac:dyDescent="0.25">
      <c r="A100" s="23"/>
      <c r="B100" s="31" t="s">
        <v>17</v>
      </c>
      <c r="C100" s="25"/>
      <c r="D100" s="69"/>
      <c r="E100" s="38"/>
      <c r="F100" s="25"/>
      <c r="G100" s="69"/>
      <c r="H100" s="38"/>
      <c r="I100" s="25"/>
      <c r="J100" s="69"/>
      <c r="K100" s="38"/>
      <c r="L100" s="50"/>
      <c r="M100" s="25"/>
      <c r="N100" s="69"/>
      <c r="O100" s="38"/>
      <c r="P100" s="25"/>
      <c r="Q100" s="69"/>
      <c r="R100" s="38"/>
      <c r="S100" s="25"/>
      <c r="T100" s="58"/>
      <c r="U100" s="38"/>
      <c r="V100" s="50"/>
    </row>
    <row r="101" spans="1:22" ht="76.5" x14ac:dyDescent="0.25">
      <c r="A101" s="23"/>
      <c r="B101" s="31" t="s">
        <v>130</v>
      </c>
      <c r="C101" s="25">
        <v>19445.47739</v>
      </c>
      <c r="D101" s="69"/>
      <c r="E101" s="38">
        <f t="shared" ref="E101:E104" si="61">C101-D101</f>
        <v>19445.47739</v>
      </c>
      <c r="F101" s="25"/>
      <c r="G101" s="69"/>
      <c r="H101" s="38">
        <f t="shared" ref="H101:H103" si="62">F101-G101</f>
        <v>0</v>
      </c>
      <c r="I101" s="25"/>
      <c r="J101" s="69"/>
      <c r="K101" s="38">
        <f t="shared" ref="K101:K103" si="63">I101-J101</f>
        <v>0</v>
      </c>
      <c r="L101" s="50">
        <f>K101/E101</f>
        <v>0</v>
      </c>
      <c r="M101" s="25"/>
      <c r="N101" s="69"/>
      <c r="O101" s="38">
        <f t="shared" ref="O101:O103" si="64">M101-N101</f>
        <v>0</v>
      </c>
      <c r="P101" s="25"/>
      <c r="Q101" s="69"/>
      <c r="R101" s="38">
        <f t="shared" ref="R101:R103" si="65">P101-Q101</f>
        <v>0</v>
      </c>
      <c r="S101" s="25"/>
      <c r="T101" s="58"/>
      <c r="U101" s="38">
        <f t="shared" ref="U101:U103" si="66">S101-T101</f>
        <v>0</v>
      </c>
      <c r="V101" s="50">
        <f>U101/E101</f>
        <v>0</v>
      </c>
    </row>
    <row r="102" spans="1:22" ht="25.5" x14ac:dyDescent="0.25">
      <c r="A102" s="23"/>
      <c r="B102" s="31" t="s">
        <v>131</v>
      </c>
      <c r="C102" s="25">
        <v>150</v>
      </c>
      <c r="D102" s="69"/>
      <c r="E102" s="38">
        <f t="shared" si="61"/>
        <v>150</v>
      </c>
      <c r="F102" s="25"/>
      <c r="G102" s="69"/>
      <c r="H102" s="38">
        <f t="shared" si="62"/>
        <v>0</v>
      </c>
      <c r="I102" s="25">
        <v>2</v>
      </c>
      <c r="J102" s="69"/>
      <c r="K102" s="38">
        <f t="shared" si="63"/>
        <v>2</v>
      </c>
      <c r="L102" s="50">
        <f>K102/E102</f>
        <v>1.3333333333333334E-2</v>
      </c>
      <c r="M102" s="25">
        <v>2</v>
      </c>
      <c r="N102" s="69"/>
      <c r="O102" s="38">
        <f t="shared" si="64"/>
        <v>2</v>
      </c>
      <c r="P102" s="25"/>
      <c r="Q102" s="69"/>
      <c r="R102" s="38">
        <f t="shared" si="65"/>
        <v>0</v>
      </c>
      <c r="S102" s="25">
        <v>0</v>
      </c>
      <c r="T102" s="58"/>
      <c r="U102" s="38">
        <f t="shared" si="66"/>
        <v>0</v>
      </c>
      <c r="V102" s="50">
        <f>U102/E102</f>
        <v>0</v>
      </c>
    </row>
    <row r="103" spans="1:22" ht="25.5" x14ac:dyDescent="0.25">
      <c r="A103" s="23"/>
      <c r="B103" s="31" t="s">
        <v>132</v>
      </c>
      <c r="C103" s="25">
        <f>5.52106+584.18385</f>
        <v>589.70491000000004</v>
      </c>
      <c r="D103" s="69"/>
      <c r="E103" s="38">
        <f t="shared" si="61"/>
        <v>589.70491000000004</v>
      </c>
      <c r="F103" s="25">
        <v>662.7</v>
      </c>
      <c r="G103" s="69"/>
      <c r="H103" s="38">
        <f t="shared" si="62"/>
        <v>662.7</v>
      </c>
      <c r="I103" s="25">
        <f>1311.41868+7+586.18111+0.5</f>
        <v>1905.09979</v>
      </c>
      <c r="J103" s="69"/>
      <c r="K103" s="38">
        <f t="shared" si="63"/>
        <v>1905.09979</v>
      </c>
      <c r="L103" s="50">
        <f>K103/E103</f>
        <v>3.230598486961894</v>
      </c>
      <c r="M103" s="25">
        <f>1311.41868+5.90108+563.10572+0</f>
        <v>1880.4254800000001</v>
      </c>
      <c r="N103" s="69"/>
      <c r="O103" s="38">
        <f t="shared" si="64"/>
        <v>1880.4254800000001</v>
      </c>
      <c r="P103" s="25">
        <f>516.1+57+5.2+15</f>
        <v>593.30000000000007</v>
      </c>
      <c r="Q103" s="69"/>
      <c r="R103" s="38">
        <f t="shared" si="65"/>
        <v>593.30000000000007</v>
      </c>
      <c r="S103" s="25">
        <v>3</v>
      </c>
      <c r="T103" s="58"/>
      <c r="U103" s="38">
        <f t="shared" si="66"/>
        <v>3</v>
      </c>
      <c r="V103" s="50">
        <f>U103/E103</f>
        <v>5.0872901838310957E-3</v>
      </c>
    </row>
    <row r="104" spans="1:22" x14ac:dyDescent="0.25">
      <c r="A104" s="71"/>
      <c r="B104" s="11" t="s">
        <v>133</v>
      </c>
      <c r="C104" s="72">
        <f>C51</f>
        <v>3333718.34002</v>
      </c>
      <c r="D104" s="72">
        <f t="shared" ref="D104" si="67">D51</f>
        <v>1951982.21104</v>
      </c>
      <c r="E104" s="12">
        <f t="shared" si="61"/>
        <v>1381736.12898</v>
      </c>
      <c r="F104" s="72">
        <f>F51</f>
        <v>3147176.2886099997</v>
      </c>
      <c r="G104" s="72">
        <f t="shared" ref="G104" si="68">G51</f>
        <v>1741913.7386700001</v>
      </c>
      <c r="H104" s="12">
        <f t="shared" si="28"/>
        <v>1405262.5499399996</v>
      </c>
      <c r="I104" s="72">
        <f>I51</f>
        <v>3251124.1756099998</v>
      </c>
      <c r="J104" s="72">
        <f t="shared" ref="J104" si="69">J51</f>
        <v>1741053.38588</v>
      </c>
      <c r="K104" s="12">
        <f t="shared" si="29"/>
        <v>1510070.7897299998</v>
      </c>
      <c r="L104" s="13">
        <f>K104/E104</f>
        <v>1.0928792828517386</v>
      </c>
      <c r="M104" s="72">
        <f>M51</f>
        <v>3156519.8926999997</v>
      </c>
      <c r="N104" s="72">
        <f t="shared" ref="N104" si="70">N51</f>
        <v>1705867.6670299999</v>
      </c>
      <c r="O104" s="12">
        <f t="shared" si="30"/>
        <v>1450652.2256699998</v>
      </c>
      <c r="P104" s="72">
        <f>P51</f>
        <v>3360107.6049800003</v>
      </c>
      <c r="Q104" s="72">
        <f t="shared" ref="Q104" si="71">Q51</f>
        <v>1804128.5594500003</v>
      </c>
      <c r="R104" s="12">
        <f t="shared" si="31"/>
        <v>1555979.04553</v>
      </c>
      <c r="S104" s="72">
        <f>S51</f>
        <v>57063.703880000001</v>
      </c>
      <c r="T104" s="72">
        <f t="shared" ref="T104" si="72">T51</f>
        <v>36556.620000000003</v>
      </c>
      <c r="U104" s="12">
        <f t="shared" si="32"/>
        <v>20507.083879999998</v>
      </c>
      <c r="V104" s="13">
        <f>U104/E104</f>
        <v>1.4841534103286683E-2</v>
      </c>
    </row>
    <row r="105" spans="1:22" x14ac:dyDescent="0.25">
      <c r="A105" s="40"/>
      <c r="B105" s="73" t="s">
        <v>134</v>
      </c>
      <c r="C105" s="74">
        <f t="shared" ref="C105:E105" si="73">C50-C51</f>
        <v>39387.264939999674</v>
      </c>
      <c r="D105" s="74">
        <f t="shared" si="73"/>
        <v>2574.4233500002883</v>
      </c>
      <c r="E105" s="74">
        <f t="shared" si="73"/>
        <v>36812.841589999385</v>
      </c>
      <c r="F105" s="74">
        <f>F50-F51</f>
        <v>-98315.706969999708</v>
      </c>
      <c r="G105" s="74">
        <f>G50-G51</f>
        <v>-0.32003000006079674</v>
      </c>
      <c r="H105" s="74">
        <f>H50-H51</f>
        <v>-98315.386939999647</v>
      </c>
      <c r="I105" s="74">
        <f>I50-I51</f>
        <v>-23167.870159999933</v>
      </c>
      <c r="J105" s="74">
        <f t="shared" ref="J105:K105" si="74">J50-J51</f>
        <v>-3443.8681799999904</v>
      </c>
      <c r="K105" s="74">
        <f t="shared" si="74"/>
        <v>-19724.001979999943</v>
      </c>
      <c r="L105" s="74"/>
      <c r="M105" s="74">
        <f t="shared" ref="M105:T105" si="75">M50-M51</f>
        <v>37541.520470000338</v>
      </c>
      <c r="N105" s="74">
        <f t="shared" si="75"/>
        <v>-6361.1195699998643</v>
      </c>
      <c r="O105" s="74">
        <f>M105-N105</f>
        <v>43902.640040000202</v>
      </c>
      <c r="P105" s="74">
        <f t="shared" si="75"/>
        <v>-135901.58513000049</v>
      </c>
      <c r="Q105" s="74">
        <f t="shared" si="75"/>
        <v>0</v>
      </c>
      <c r="R105" s="74">
        <f>P105-Q105</f>
        <v>-135901.58513000049</v>
      </c>
      <c r="S105" s="74">
        <f t="shared" si="75"/>
        <v>34432.68118</v>
      </c>
      <c r="T105" s="74">
        <f t="shared" si="75"/>
        <v>-0.22000000000116415</v>
      </c>
      <c r="U105" s="74">
        <f>S105-T105</f>
        <v>34432.901180000001</v>
      </c>
      <c r="V105" s="18"/>
    </row>
    <row r="106" spans="1:22" s="148" customFormat="1" ht="22.5" x14ac:dyDescent="0.25">
      <c r="A106" s="153"/>
      <c r="B106" s="154" t="s">
        <v>135</v>
      </c>
      <c r="C106" s="75">
        <v>39387.264940000001</v>
      </c>
      <c r="D106" s="75">
        <v>2574.42335</v>
      </c>
      <c r="E106" s="75"/>
      <c r="F106" s="76">
        <v>-98315.706969999999</v>
      </c>
      <c r="G106" s="76">
        <v>0</v>
      </c>
      <c r="H106" s="160">
        <f>F106-G106</f>
        <v>-98315.706969999999</v>
      </c>
      <c r="I106" s="77">
        <v>-26699.672170000002</v>
      </c>
      <c r="J106" s="78">
        <v>-3443.8681799999999</v>
      </c>
      <c r="K106" s="160">
        <f>I106-J106</f>
        <v>-23255.80399</v>
      </c>
      <c r="L106" s="79"/>
      <c r="M106" s="75">
        <v>37541.520470000003</v>
      </c>
      <c r="N106" s="75">
        <v>-784.34262000000001</v>
      </c>
      <c r="O106" s="160">
        <f>M106-N106</f>
        <v>38325.863090000006</v>
      </c>
      <c r="P106" s="75"/>
      <c r="Q106" s="75"/>
      <c r="R106" s="75"/>
      <c r="S106" s="75"/>
      <c r="T106" s="75"/>
      <c r="U106" s="75"/>
      <c r="V106" s="79"/>
    </row>
    <row r="107" spans="1:22" ht="26.25" x14ac:dyDescent="0.25">
      <c r="A107" s="14" t="s">
        <v>136</v>
      </c>
      <c r="B107" s="80" t="s">
        <v>137</v>
      </c>
      <c r="C107" s="81">
        <f>C109+C110+C115+C118</f>
        <v>-39387.264939999674</v>
      </c>
      <c r="D107" s="81" t="s">
        <v>138</v>
      </c>
      <c r="E107" s="82" t="s">
        <v>138</v>
      </c>
      <c r="F107" s="83">
        <f>F109+F110+F115+F118</f>
        <v>98315.706969999708</v>
      </c>
      <c r="G107" s="81" t="s">
        <v>138</v>
      </c>
      <c r="H107" s="81" t="s">
        <v>138</v>
      </c>
      <c r="I107" s="83">
        <f>I109+I110+I115+I118</f>
        <v>23167.870159999933</v>
      </c>
      <c r="J107" s="81" t="s">
        <v>138</v>
      </c>
      <c r="K107" s="81" t="s">
        <v>138</v>
      </c>
      <c r="L107" s="18"/>
      <c r="M107" s="81">
        <f>M109+M110+M115+M118</f>
        <v>-37541.520470000338</v>
      </c>
      <c r="N107" s="81" t="s">
        <v>138</v>
      </c>
      <c r="O107" s="81" t="s">
        <v>138</v>
      </c>
      <c r="P107" s="81">
        <f>P109+P110+P115+P118</f>
        <v>135901.58513000049</v>
      </c>
      <c r="Q107" s="84" t="s">
        <v>138</v>
      </c>
      <c r="R107" s="84" t="s">
        <v>138</v>
      </c>
      <c r="S107" s="81">
        <f>S109+S110+S115+S118</f>
        <v>-34432.68118</v>
      </c>
      <c r="T107" s="81" t="s">
        <v>138</v>
      </c>
      <c r="U107" s="81" t="s">
        <v>138</v>
      </c>
      <c r="V107" s="18"/>
    </row>
    <row r="108" spans="1:22" x14ac:dyDescent="0.25">
      <c r="A108" s="14"/>
      <c r="B108" s="24" t="s">
        <v>17</v>
      </c>
      <c r="C108" s="81"/>
      <c r="D108" s="81"/>
      <c r="E108" s="82"/>
      <c r="F108" s="85"/>
      <c r="G108" s="81"/>
      <c r="H108" s="81"/>
      <c r="I108" s="85"/>
      <c r="J108" s="81"/>
      <c r="K108" s="81"/>
      <c r="L108" s="18"/>
      <c r="M108" s="85"/>
      <c r="N108" s="81"/>
      <c r="O108" s="81"/>
      <c r="P108" s="85"/>
      <c r="Q108" s="85"/>
      <c r="R108" s="85"/>
      <c r="S108" s="85"/>
      <c r="T108" s="81"/>
      <c r="U108" s="81"/>
      <c r="V108" s="18"/>
    </row>
    <row r="109" spans="1:22" x14ac:dyDescent="0.25">
      <c r="A109" s="14" t="s">
        <v>139</v>
      </c>
      <c r="B109" s="80" t="s">
        <v>140</v>
      </c>
      <c r="C109" s="81">
        <f>C104-C50-C115-C110-C118</f>
        <v>-406641.09953999968</v>
      </c>
      <c r="D109" s="81" t="s">
        <v>138</v>
      </c>
      <c r="E109" s="82" t="s">
        <v>138</v>
      </c>
      <c r="F109" s="83">
        <f>F104-F50-F115-F110-F118</f>
        <v>-2.9103830456733704E-10</v>
      </c>
      <c r="G109" s="83" t="s">
        <v>138</v>
      </c>
      <c r="H109" s="83" t="s">
        <v>138</v>
      </c>
      <c r="I109" s="83">
        <f>I104-I50-I115-I110-I118</f>
        <v>61677.870159999933</v>
      </c>
      <c r="J109" s="81" t="s">
        <v>138</v>
      </c>
      <c r="K109" s="81" t="s">
        <v>138</v>
      </c>
      <c r="L109" s="18"/>
      <c r="M109" s="81">
        <f>M104-M50-M115-M110-M118</f>
        <v>-87626.689820000334</v>
      </c>
      <c r="N109" s="81" t="s">
        <v>138</v>
      </c>
      <c r="O109" s="81" t="s">
        <v>138</v>
      </c>
      <c r="P109" s="81">
        <f>P104-P50-P115-P110-P118</f>
        <v>22001.585130000487</v>
      </c>
      <c r="Q109" s="81" t="s">
        <v>138</v>
      </c>
      <c r="R109" s="81" t="s">
        <v>138</v>
      </c>
      <c r="S109" s="81">
        <f>S104-S50-S115-S110-S118</f>
        <v>56679.618820000003</v>
      </c>
      <c r="T109" s="81" t="s">
        <v>138</v>
      </c>
      <c r="U109" s="81" t="s">
        <v>138</v>
      </c>
      <c r="V109" s="18"/>
    </row>
    <row r="110" spans="1:22" ht="26.25" x14ac:dyDescent="0.25">
      <c r="A110" s="14" t="s">
        <v>141</v>
      </c>
      <c r="B110" s="80" t="s">
        <v>142</v>
      </c>
      <c r="C110" s="81">
        <f>C111+C112+C113+C114</f>
        <v>-13580</v>
      </c>
      <c r="D110" s="81" t="s">
        <v>138</v>
      </c>
      <c r="E110" s="82" t="s">
        <v>138</v>
      </c>
      <c r="F110" s="81">
        <f>F111+F112+F113+F114</f>
        <v>-38510</v>
      </c>
      <c r="G110" s="81" t="s">
        <v>138</v>
      </c>
      <c r="H110" s="81" t="s">
        <v>138</v>
      </c>
      <c r="I110" s="81">
        <f>I111+I112+I113+I114</f>
        <v>-38510</v>
      </c>
      <c r="J110" s="81" t="s">
        <v>138</v>
      </c>
      <c r="K110" s="81" t="s">
        <v>138</v>
      </c>
      <c r="L110" s="18"/>
      <c r="M110" s="81">
        <f>M111+M112+M113+M114</f>
        <v>-38510</v>
      </c>
      <c r="N110" s="81" t="s">
        <v>138</v>
      </c>
      <c r="O110" s="81" t="s">
        <v>138</v>
      </c>
      <c r="P110" s="81">
        <f>P111+P112+P113+P114</f>
        <v>-10790</v>
      </c>
      <c r="Q110" s="81" t="s">
        <v>138</v>
      </c>
      <c r="R110" s="81" t="s">
        <v>138</v>
      </c>
      <c r="S110" s="81">
        <f>S111+S112+S113+S114</f>
        <v>0</v>
      </c>
      <c r="T110" s="81" t="s">
        <v>138</v>
      </c>
      <c r="U110" s="81" t="s">
        <v>138</v>
      </c>
      <c r="V110" s="18"/>
    </row>
    <row r="111" spans="1:22" x14ac:dyDescent="0.25">
      <c r="A111" s="14"/>
      <c r="B111" s="24" t="s">
        <v>143</v>
      </c>
      <c r="C111" s="86">
        <v>0</v>
      </c>
      <c r="D111" s="81" t="s">
        <v>138</v>
      </c>
      <c r="E111" s="82" t="s">
        <v>138</v>
      </c>
      <c r="F111" s="86"/>
      <c r="G111" s="81" t="s">
        <v>138</v>
      </c>
      <c r="H111" s="81" t="s">
        <v>138</v>
      </c>
      <c r="I111" s="86"/>
      <c r="J111" s="81" t="s">
        <v>138</v>
      </c>
      <c r="K111" s="81" t="s">
        <v>138</v>
      </c>
      <c r="L111" s="18"/>
      <c r="M111" s="86"/>
      <c r="N111" s="81" t="s">
        <v>138</v>
      </c>
      <c r="O111" s="81" t="s">
        <v>138</v>
      </c>
      <c r="P111" s="86"/>
      <c r="Q111" s="81" t="s">
        <v>138</v>
      </c>
      <c r="R111" s="81" t="s">
        <v>138</v>
      </c>
      <c r="S111" s="86"/>
      <c r="T111" s="81" t="s">
        <v>138</v>
      </c>
      <c r="U111" s="81" t="s">
        <v>138</v>
      </c>
      <c r="V111" s="18"/>
    </row>
    <row r="112" spans="1:22" ht="26.25" x14ac:dyDescent="0.25">
      <c r="A112" s="14"/>
      <c r="B112" s="24" t="s">
        <v>144</v>
      </c>
      <c r="C112" s="86">
        <v>0</v>
      </c>
      <c r="D112" s="81" t="s">
        <v>138</v>
      </c>
      <c r="E112" s="82" t="s">
        <v>138</v>
      </c>
      <c r="F112" s="86"/>
      <c r="G112" s="81" t="s">
        <v>138</v>
      </c>
      <c r="H112" s="81" t="s">
        <v>138</v>
      </c>
      <c r="I112" s="86"/>
      <c r="J112" s="81" t="s">
        <v>138</v>
      </c>
      <c r="K112" s="81" t="s">
        <v>138</v>
      </c>
      <c r="L112" s="18"/>
      <c r="M112" s="86"/>
      <c r="N112" s="81" t="s">
        <v>138</v>
      </c>
      <c r="O112" s="81" t="s">
        <v>138</v>
      </c>
      <c r="P112" s="86"/>
      <c r="Q112" s="81" t="s">
        <v>138</v>
      </c>
      <c r="R112" s="81" t="s">
        <v>138</v>
      </c>
      <c r="S112" s="86"/>
      <c r="T112" s="81" t="s">
        <v>138</v>
      </c>
      <c r="U112" s="81" t="s">
        <v>138</v>
      </c>
      <c r="V112" s="18"/>
    </row>
    <row r="113" spans="1:22" x14ac:dyDescent="0.25">
      <c r="A113" s="14"/>
      <c r="B113" s="24" t="s">
        <v>145</v>
      </c>
      <c r="C113" s="86">
        <v>-13580</v>
      </c>
      <c r="D113" s="81" t="s">
        <v>138</v>
      </c>
      <c r="E113" s="82" t="s">
        <v>138</v>
      </c>
      <c r="F113" s="86">
        <v>-38510</v>
      </c>
      <c r="G113" s="81" t="s">
        <v>138</v>
      </c>
      <c r="H113" s="81" t="s">
        <v>138</v>
      </c>
      <c r="I113" s="86">
        <v>-38510</v>
      </c>
      <c r="J113" s="81" t="s">
        <v>138</v>
      </c>
      <c r="K113" s="81" t="s">
        <v>138</v>
      </c>
      <c r="L113" s="18"/>
      <c r="M113" s="86">
        <v>-38510</v>
      </c>
      <c r="N113" s="81" t="s">
        <v>138</v>
      </c>
      <c r="O113" s="81" t="s">
        <v>138</v>
      </c>
      <c r="P113" s="86">
        <v>-10790</v>
      </c>
      <c r="Q113" s="81" t="s">
        <v>138</v>
      </c>
      <c r="R113" s="81" t="s">
        <v>138</v>
      </c>
      <c r="S113" s="86">
        <v>0</v>
      </c>
      <c r="T113" s="81" t="s">
        <v>138</v>
      </c>
      <c r="U113" s="81" t="s">
        <v>138</v>
      </c>
      <c r="V113" s="18"/>
    </row>
    <row r="114" spans="1:22" ht="26.25" x14ac:dyDescent="0.25">
      <c r="A114" s="14"/>
      <c r="B114" s="24" t="s">
        <v>146</v>
      </c>
      <c r="C114" s="86">
        <v>0</v>
      </c>
      <c r="D114" s="81" t="s">
        <v>138</v>
      </c>
      <c r="E114" s="82" t="s">
        <v>138</v>
      </c>
      <c r="F114" s="86"/>
      <c r="G114" s="81" t="s">
        <v>138</v>
      </c>
      <c r="H114" s="81" t="s">
        <v>138</v>
      </c>
      <c r="I114" s="86"/>
      <c r="J114" s="81" t="s">
        <v>138</v>
      </c>
      <c r="K114" s="81" t="s">
        <v>138</v>
      </c>
      <c r="L114" s="18"/>
      <c r="M114" s="86"/>
      <c r="N114" s="81" t="s">
        <v>138</v>
      </c>
      <c r="O114" s="81" t="s">
        <v>138</v>
      </c>
      <c r="P114" s="86"/>
      <c r="Q114" s="81" t="s">
        <v>138</v>
      </c>
      <c r="R114" s="81" t="s">
        <v>138</v>
      </c>
      <c r="S114" s="86"/>
      <c r="T114" s="81" t="s">
        <v>138</v>
      </c>
      <c r="U114" s="81" t="s">
        <v>138</v>
      </c>
      <c r="V114" s="18"/>
    </row>
    <row r="115" spans="1:22" x14ac:dyDescent="0.25">
      <c r="A115" s="14" t="s">
        <v>147</v>
      </c>
      <c r="B115" s="80" t="s">
        <v>148</v>
      </c>
      <c r="C115" s="81">
        <f>C116+C117</f>
        <v>0</v>
      </c>
      <c r="D115" s="81" t="s">
        <v>138</v>
      </c>
      <c r="E115" s="82" t="s">
        <v>138</v>
      </c>
      <c r="F115" s="81">
        <f t="shared" ref="F115" si="76">F116+F117</f>
        <v>136825.70697</v>
      </c>
      <c r="G115" s="81" t="s">
        <v>138</v>
      </c>
      <c r="H115" s="81" t="s">
        <v>138</v>
      </c>
      <c r="I115" s="81">
        <f t="shared" ref="I115" si="77">I116+I117</f>
        <v>0</v>
      </c>
      <c r="J115" s="81" t="s">
        <v>138</v>
      </c>
      <c r="K115" s="81" t="s">
        <v>138</v>
      </c>
      <c r="L115" s="18"/>
      <c r="M115" s="81">
        <f t="shared" ref="M115" si="78">M116+M117</f>
        <v>0</v>
      </c>
      <c r="N115" s="81" t="s">
        <v>138</v>
      </c>
      <c r="O115" s="81" t="s">
        <v>138</v>
      </c>
      <c r="P115" s="81">
        <f t="shared" ref="P115" si="79">P116+P117</f>
        <v>124690</v>
      </c>
      <c r="Q115" s="81" t="s">
        <v>138</v>
      </c>
      <c r="R115" s="81" t="s">
        <v>138</v>
      </c>
      <c r="S115" s="81">
        <f t="shared" ref="S115" si="80">S116+S117</f>
        <v>0</v>
      </c>
      <c r="T115" s="81" t="s">
        <v>138</v>
      </c>
      <c r="U115" s="81" t="s">
        <v>138</v>
      </c>
      <c r="V115" s="18"/>
    </row>
    <row r="116" spans="1:22" x14ac:dyDescent="0.25">
      <c r="A116" s="23"/>
      <c r="B116" s="24" t="s">
        <v>149</v>
      </c>
      <c r="C116" s="86"/>
      <c r="D116" s="81" t="s">
        <v>138</v>
      </c>
      <c r="E116" s="82" t="s">
        <v>138</v>
      </c>
      <c r="F116" s="86">
        <v>136825.70697</v>
      </c>
      <c r="G116" s="81" t="s">
        <v>138</v>
      </c>
      <c r="H116" s="81" t="s">
        <v>138</v>
      </c>
      <c r="I116" s="86">
        <v>0</v>
      </c>
      <c r="J116" s="81" t="s">
        <v>138</v>
      </c>
      <c r="K116" s="81" t="s">
        <v>138</v>
      </c>
      <c r="L116" s="18"/>
      <c r="M116" s="86">
        <v>0</v>
      </c>
      <c r="N116" s="81" t="s">
        <v>138</v>
      </c>
      <c r="O116" s="81" t="s">
        <v>138</v>
      </c>
      <c r="P116" s="86">
        <v>124690</v>
      </c>
      <c r="Q116" s="81" t="s">
        <v>138</v>
      </c>
      <c r="R116" s="81" t="s">
        <v>138</v>
      </c>
      <c r="S116" s="86">
        <v>0</v>
      </c>
      <c r="T116" s="81" t="s">
        <v>138</v>
      </c>
      <c r="U116" s="81" t="s">
        <v>138</v>
      </c>
      <c r="V116" s="18"/>
    </row>
    <row r="117" spans="1:22" x14ac:dyDescent="0.25">
      <c r="A117" s="14"/>
      <c r="B117" s="24" t="s">
        <v>145</v>
      </c>
      <c r="C117" s="83"/>
      <c r="D117" s="81" t="s">
        <v>138</v>
      </c>
      <c r="E117" s="82" t="s">
        <v>138</v>
      </c>
      <c r="F117" s="83"/>
      <c r="G117" s="81" t="s">
        <v>138</v>
      </c>
      <c r="H117" s="81" t="s">
        <v>138</v>
      </c>
      <c r="I117" s="83"/>
      <c r="J117" s="81" t="s">
        <v>138</v>
      </c>
      <c r="K117" s="81" t="s">
        <v>138</v>
      </c>
      <c r="L117" s="18"/>
      <c r="M117" s="83"/>
      <c r="N117" s="81" t="s">
        <v>138</v>
      </c>
      <c r="O117" s="81" t="s">
        <v>138</v>
      </c>
      <c r="P117" s="83"/>
      <c r="Q117" s="81" t="s">
        <v>138</v>
      </c>
      <c r="R117" s="81" t="s">
        <v>138</v>
      </c>
      <c r="S117" s="83"/>
      <c r="T117" s="81" t="s">
        <v>138</v>
      </c>
      <c r="U117" s="81" t="s">
        <v>138</v>
      </c>
      <c r="V117" s="18"/>
    </row>
    <row r="118" spans="1:22" ht="26.25" x14ac:dyDescent="0.25">
      <c r="A118" s="14" t="s">
        <v>150</v>
      </c>
      <c r="B118" s="80" t="s">
        <v>151</v>
      </c>
      <c r="C118" s="83">
        <f>C120</f>
        <v>380833.8346</v>
      </c>
      <c r="D118" s="81" t="s">
        <v>138</v>
      </c>
      <c r="E118" s="82" t="s">
        <v>138</v>
      </c>
      <c r="F118" s="83">
        <f>F120</f>
        <v>0</v>
      </c>
      <c r="G118" s="81" t="s">
        <v>138</v>
      </c>
      <c r="H118" s="81" t="s">
        <v>138</v>
      </c>
      <c r="I118" s="83">
        <f>I120</f>
        <v>0</v>
      </c>
      <c r="J118" s="81" t="s">
        <v>138</v>
      </c>
      <c r="K118" s="81" t="s">
        <v>138</v>
      </c>
      <c r="L118" s="18"/>
      <c r="M118" s="83">
        <f>M120</f>
        <v>88595.169349999996</v>
      </c>
      <c r="N118" s="81" t="s">
        <v>138</v>
      </c>
      <c r="O118" s="81" t="s">
        <v>138</v>
      </c>
      <c r="P118" s="83">
        <f>P120</f>
        <v>0</v>
      </c>
      <c r="Q118" s="81" t="s">
        <v>138</v>
      </c>
      <c r="R118" s="81" t="s">
        <v>138</v>
      </c>
      <c r="S118" s="83">
        <f>S120</f>
        <v>-91112.3</v>
      </c>
      <c r="T118" s="81" t="s">
        <v>138</v>
      </c>
      <c r="U118" s="81" t="s">
        <v>138</v>
      </c>
      <c r="V118" s="18"/>
    </row>
    <row r="119" spans="1:22" x14ac:dyDescent="0.25">
      <c r="A119" s="14"/>
      <c r="B119" s="24" t="s">
        <v>17</v>
      </c>
      <c r="C119" s="83"/>
      <c r="D119" s="81"/>
      <c r="E119" s="82"/>
      <c r="F119" s="83"/>
      <c r="G119" s="81"/>
      <c r="H119" s="81"/>
      <c r="I119" s="83"/>
      <c r="J119" s="81"/>
      <c r="K119" s="81"/>
      <c r="L119" s="18"/>
      <c r="M119" s="83"/>
      <c r="N119" s="81"/>
      <c r="O119" s="81"/>
      <c r="P119" s="83"/>
      <c r="Q119" s="81"/>
      <c r="R119" s="81"/>
      <c r="S119" s="83"/>
      <c r="T119" s="81"/>
      <c r="U119" s="81"/>
      <c r="V119" s="18"/>
    </row>
    <row r="120" spans="1:22" ht="51" x14ac:dyDescent="0.25">
      <c r="A120" s="14"/>
      <c r="B120" s="87" t="s">
        <v>152</v>
      </c>
      <c r="C120" s="83">
        <v>380833.8346</v>
      </c>
      <c r="D120" s="81" t="s">
        <v>138</v>
      </c>
      <c r="E120" s="82" t="s">
        <v>138</v>
      </c>
      <c r="F120" s="83">
        <v>0</v>
      </c>
      <c r="G120" s="81" t="s">
        <v>138</v>
      </c>
      <c r="H120" s="81" t="s">
        <v>138</v>
      </c>
      <c r="I120" s="83">
        <v>0</v>
      </c>
      <c r="J120" s="81" t="s">
        <v>138</v>
      </c>
      <c r="K120" s="81" t="s">
        <v>138</v>
      </c>
      <c r="L120" s="18"/>
      <c r="M120" s="83">
        <v>88595.169349999996</v>
      </c>
      <c r="N120" s="81" t="s">
        <v>138</v>
      </c>
      <c r="O120" s="81" t="s">
        <v>138</v>
      </c>
      <c r="P120" s="83">
        <v>0</v>
      </c>
      <c r="Q120" s="81" t="s">
        <v>138</v>
      </c>
      <c r="R120" s="81" t="s">
        <v>138</v>
      </c>
      <c r="S120" s="83">
        <v>-91112.3</v>
      </c>
      <c r="T120" s="81" t="s">
        <v>138</v>
      </c>
      <c r="U120" s="81" t="s">
        <v>138</v>
      </c>
      <c r="V120" s="18"/>
    </row>
    <row r="121" spans="1:22" ht="25.5" x14ac:dyDescent="0.25">
      <c r="A121" s="14"/>
      <c r="B121" s="31" t="s">
        <v>153</v>
      </c>
      <c r="C121" s="83"/>
      <c r="D121" s="81" t="s">
        <v>138</v>
      </c>
      <c r="E121" s="82" t="s">
        <v>138</v>
      </c>
      <c r="F121" s="83"/>
      <c r="G121" s="81" t="s">
        <v>138</v>
      </c>
      <c r="H121" s="81" t="s">
        <v>138</v>
      </c>
      <c r="I121" s="83"/>
      <c r="J121" s="81" t="s">
        <v>138</v>
      </c>
      <c r="K121" s="81" t="s">
        <v>138</v>
      </c>
      <c r="L121" s="18"/>
      <c r="M121" s="83"/>
      <c r="N121" s="81" t="s">
        <v>138</v>
      </c>
      <c r="O121" s="81" t="s">
        <v>138</v>
      </c>
      <c r="P121" s="83"/>
      <c r="Q121" s="81" t="s">
        <v>138</v>
      </c>
      <c r="R121" s="81" t="s">
        <v>138</v>
      </c>
      <c r="S121" s="83"/>
      <c r="T121" s="81" t="s">
        <v>138</v>
      </c>
      <c r="U121" s="81" t="s">
        <v>138</v>
      </c>
      <c r="V121" s="18"/>
    </row>
    <row r="122" spans="1:22" ht="25.5" x14ac:dyDescent="0.25">
      <c r="A122" s="14"/>
      <c r="B122" s="31" t="s">
        <v>154</v>
      </c>
      <c r="C122" s="83"/>
      <c r="D122" s="88" t="s">
        <v>138</v>
      </c>
      <c r="E122" s="82" t="s">
        <v>138</v>
      </c>
      <c r="F122" s="89"/>
      <c r="G122" s="81" t="s">
        <v>138</v>
      </c>
      <c r="H122" s="81" t="s">
        <v>138</v>
      </c>
      <c r="I122" s="89"/>
      <c r="J122" s="81" t="s">
        <v>138</v>
      </c>
      <c r="K122" s="81" t="s">
        <v>138</v>
      </c>
      <c r="L122" s="18"/>
      <c r="M122" s="89"/>
      <c r="N122" s="81" t="s">
        <v>138</v>
      </c>
      <c r="O122" s="81" t="s">
        <v>138</v>
      </c>
      <c r="P122" s="89"/>
      <c r="Q122" s="81" t="s">
        <v>138</v>
      </c>
      <c r="R122" s="81" t="s">
        <v>138</v>
      </c>
      <c r="S122" s="89"/>
      <c r="T122" s="81" t="s">
        <v>138</v>
      </c>
      <c r="U122" s="81" t="s">
        <v>138</v>
      </c>
      <c r="V122" s="18"/>
    </row>
    <row r="123" spans="1:22" ht="20.25" customHeight="1" x14ac:dyDescent="0.25">
      <c r="A123" s="90" t="s">
        <v>155</v>
      </c>
      <c r="B123" s="91" t="s">
        <v>156</v>
      </c>
      <c r="C123" s="88">
        <f>C124+C125</f>
        <v>578762.48436</v>
      </c>
      <c r="D123" s="88" t="s">
        <v>138</v>
      </c>
      <c r="E123" s="92" t="s">
        <v>138</v>
      </c>
      <c r="F123" s="81" t="s">
        <v>138</v>
      </c>
      <c r="G123" s="81" t="s">
        <v>138</v>
      </c>
      <c r="H123" s="88" t="s">
        <v>138</v>
      </c>
      <c r="I123" s="88" t="s">
        <v>138</v>
      </c>
      <c r="J123" s="88" t="s">
        <v>138</v>
      </c>
      <c r="K123" s="88" t="s">
        <v>138</v>
      </c>
      <c r="L123" s="18"/>
      <c r="M123" s="88">
        <f>M124+M125</f>
        <v>666389.17417999997</v>
      </c>
      <c r="N123" s="88" t="s">
        <v>138</v>
      </c>
      <c r="O123" s="88" t="s">
        <v>138</v>
      </c>
      <c r="P123" s="81" t="s">
        <v>138</v>
      </c>
      <c r="Q123" s="81" t="s">
        <v>138</v>
      </c>
      <c r="R123" s="81" t="s">
        <v>138</v>
      </c>
      <c r="S123" s="88">
        <f>S124+S125</f>
        <v>700821.85536000005</v>
      </c>
      <c r="T123" s="81" t="s">
        <v>138</v>
      </c>
      <c r="U123" s="81" t="s">
        <v>138</v>
      </c>
      <c r="V123" s="18"/>
    </row>
    <row r="124" spans="1:22" x14ac:dyDescent="0.25">
      <c r="A124" s="23"/>
      <c r="B124" s="24" t="s">
        <v>157</v>
      </c>
      <c r="C124" s="93">
        <f>6026.86109+1274</f>
        <v>7300.8610900000003</v>
      </c>
      <c r="D124" s="81" t="s">
        <v>138</v>
      </c>
      <c r="E124" s="82" t="s">
        <v>138</v>
      </c>
      <c r="F124" s="81" t="s">
        <v>138</v>
      </c>
      <c r="G124" s="81" t="s">
        <v>138</v>
      </c>
      <c r="H124" s="88" t="s">
        <v>138</v>
      </c>
      <c r="I124" s="88" t="s">
        <v>138</v>
      </c>
      <c r="J124" s="88" t="s">
        <v>138</v>
      </c>
      <c r="K124" s="88" t="s">
        <v>138</v>
      </c>
      <c r="L124" s="18"/>
      <c r="M124" s="94">
        <v>1274</v>
      </c>
      <c r="N124" s="88" t="s">
        <v>138</v>
      </c>
      <c r="O124" s="88" t="s">
        <v>138</v>
      </c>
      <c r="P124" s="81" t="s">
        <v>138</v>
      </c>
      <c r="Q124" s="81" t="s">
        <v>138</v>
      </c>
      <c r="R124" s="81" t="s">
        <v>138</v>
      </c>
      <c r="S124" s="94">
        <f>M124+T105</f>
        <v>1273.7799999999988</v>
      </c>
      <c r="T124" s="81" t="s">
        <v>138</v>
      </c>
      <c r="U124" s="81" t="s">
        <v>138</v>
      </c>
      <c r="V124" s="18"/>
    </row>
    <row r="125" spans="1:22" x14ac:dyDescent="0.25">
      <c r="A125" s="95"/>
      <c r="B125" s="24" t="s">
        <v>158</v>
      </c>
      <c r="C125" s="83">
        <f>578762.48436-C124</f>
        <v>571461.62326999998</v>
      </c>
      <c r="D125" s="81" t="s">
        <v>138</v>
      </c>
      <c r="E125" s="82" t="s">
        <v>138</v>
      </c>
      <c r="F125" s="81" t="s">
        <v>138</v>
      </c>
      <c r="G125" s="81" t="s">
        <v>138</v>
      </c>
      <c r="H125" s="81" t="s">
        <v>138</v>
      </c>
      <c r="I125" s="81" t="s">
        <v>138</v>
      </c>
      <c r="J125" s="88" t="s">
        <v>138</v>
      </c>
      <c r="K125" s="88" t="s">
        <v>138</v>
      </c>
      <c r="L125" s="18"/>
      <c r="M125" s="89">
        <f>666389.17418-M124</f>
        <v>665115.17417999997</v>
      </c>
      <c r="N125" s="88" t="s">
        <v>138</v>
      </c>
      <c r="O125" s="88" t="s">
        <v>138</v>
      </c>
      <c r="P125" s="81" t="s">
        <v>138</v>
      </c>
      <c r="Q125" s="81" t="s">
        <v>138</v>
      </c>
      <c r="R125" s="81" t="s">
        <v>138</v>
      </c>
      <c r="S125" s="89">
        <f>M125+U105</f>
        <v>699548.07536000002</v>
      </c>
      <c r="T125" s="81" t="s">
        <v>138</v>
      </c>
      <c r="U125" s="81" t="s">
        <v>138</v>
      </c>
      <c r="V125" s="18"/>
    </row>
    <row r="126" spans="1:22" x14ac:dyDescent="0.25">
      <c r="A126" s="95"/>
      <c r="B126" s="24" t="s">
        <v>7</v>
      </c>
      <c r="C126" s="83"/>
      <c r="D126" s="81"/>
      <c r="E126" s="82"/>
      <c r="F126" s="81"/>
      <c r="G126" s="81"/>
      <c r="H126" s="81"/>
      <c r="I126" s="81"/>
      <c r="J126" s="88"/>
      <c r="K126" s="88"/>
      <c r="L126" s="18"/>
      <c r="M126" s="89"/>
      <c r="N126" s="88"/>
      <c r="O126" s="88"/>
      <c r="P126" s="89"/>
      <c r="Q126" s="81"/>
      <c r="R126" s="81"/>
      <c r="S126" s="89"/>
      <c r="T126" s="81"/>
      <c r="U126" s="81"/>
      <c r="V126" s="18"/>
    </row>
    <row r="127" spans="1:22" ht="51.75" x14ac:dyDescent="0.25">
      <c r="A127" s="96"/>
      <c r="B127" s="20" t="s">
        <v>159</v>
      </c>
      <c r="C127" s="83">
        <v>1274</v>
      </c>
      <c r="D127" s="81" t="s">
        <v>138</v>
      </c>
      <c r="E127" s="82" t="s">
        <v>138</v>
      </c>
      <c r="F127" s="81" t="s">
        <v>138</v>
      </c>
      <c r="G127" s="81" t="s">
        <v>138</v>
      </c>
      <c r="H127" s="81" t="s">
        <v>138</v>
      </c>
      <c r="I127" s="81" t="s">
        <v>138</v>
      </c>
      <c r="J127" s="88" t="s">
        <v>138</v>
      </c>
      <c r="K127" s="88" t="s">
        <v>138</v>
      </c>
      <c r="L127" s="18"/>
      <c r="M127" s="89">
        <v>1274</v>
      </c>
      <c r="N127" s="88" t="s">
        <v>138</v>
      </c>
      <c r="O127" s="88" t="s">
        <v>138</v>
      </c>
      <c r="P127" s="81" t="s">
        <v>138</v>
      </c>
      <c r="Q127" s="81" t="s">
        <v>138</v>
      </c>
      <c r="R127" s="81" t="s">
        <v>138</v>
      </c>
      <c r="S127" s="89">
        <v>1274</v>
      </c>
      <c r="T127" s="81" t="s">
        <v>138</v>
      </c>
      <c r="U127" s="81" t="s">
        <v>138</v>
      </c>
      <c r="V127" s="18"/>
    </row>
    <row r="128" spans="1:22" s="157" customFormat="1" ht="26.25" x14ac:dyDescent="0.25">
      <c r="A128" s="96"/>
      <c r="B128" s="20" t="s">
        <v>211</v>
      </c>
      <c r="C128" s="83">
        <f>498991.51042+1340.6491</f>
        <v>500332.15951999999</v>
      </c>
      <c r="D128" s="81" t="s">
        <v>138</v>
      </c>
      <c r="E128" s="81" t="s">
        <v>138</v>
      </c>
      <c r="F128" s="81" t="s">
        <v>138</v>
      </c>
      <c r="G128" s="81" t="s">
        <v>138</v>
      </c>
      <c r="H128" s="81" t="s">
        <v>138</v>
      </c>
      <c r="I128" s="81" t="s">
        <v>138</v>
      </c>
      <c r="J128" s="81" t="s">
        <v>138</v>
      </c>
      <c r="K128" s="81" t="s">
        <v>138</v>
      </c>
      <c r="L128" s="50"/>
      <c r="M128" s="89">
        <f>587183.21642+1744.11245</f>
        <v>588927.32886999997</v>
      </c>
      <c r="N128" s="81" t="s">
        <v>138</v>
      </c>
      <c r="O128" s="81" t="s">
        <v>138</v>
      </c>
      <c r="P128" s="81" t="s">
        <v>138</v>
      </c>
      <c r="Q128" s="81" t="s">
        <v>138</v>
      </c>
      <c r="R128" s="81" t="s">
        <v>138</v>
      </c>
      <c r="S128" s="89">
        <f>M128+S120</f>
        <v>497815.02886999998</v>
      </c>
      <c r="T128" s="81" t="s">
        <v>138</v>
      </c>
      <c r="U128" s="81" t="s">
        <v>138</v>
      </c>
      <c r="V128" s="50"/>
    </row>
    <row r="129" spans="1:22" ht="26.25" x14ac:dyDescent="0.25">
      <c r="A129" s="90" t="s">
        <v>160</v>
      </c>
      <c r="B129" s="80" t="s">
        <v>161</v>
      </c>
      <c r="C129" s="89"/>
      <c r="D129" s="83"/>
      <c r="E129" s="97"/>
      <c r="F129" s="81" t="s">
        <v>138</v>
      </c>
      <c r="G129" s="81" t="s">
        <v>138</v>
      </c>
      <c r="H129" s="81" t="s">
        <v>138</v>
      </c>
      <c r="I129" s="81" t="s">
        <v>138</v>
      </c>
      <c r="J129" s="81" t="s">
        <v>138</v>
      </c>
      <c r="K129" s="81" t="s">
        <v>138</v>
      </c>
      <c r="L129" s="98" t="s">
        <v>138</v>
      </c>
      <c r="M129" s="89"/>
      <c r="N129" s="89"/>
      <c r="O129" s="89"/>
      <c r="P129" s="89"/>
      <c r="Q129" s="89"/>
      <c r="R129" s="89"/>
      <c r="S129" s="89"/>
      <c r="T129" s="89"/>
      <c r="U129" s="89"/>
      <c r="V129" s="18" t="e">
        <f t="shared" ref="V129:V145" si="81">U129/E129</f>
        <v>#DIV/0!</v>
      </c>
    </row>
    <row r="130" spans="1:22" s="159" customFormat="1" ht="20.25" customHeight="1" x14ac:dyDescent="0.25">
      <c r="A130" s="90" t="s">
        <v>162</v>
      </c>
      <c r="B130" s="99" t="s">
        <v>163</v>
      </c>
      <c r="C130" s="100">
        <f>SUM(C131:C144)</f>
        <v>3333718.34002</v>
      </c>
      <c r="D130" s="100">
        <f t="shared" ref="D130:T130" si="82">SUM(D131:D144)</f>
        <v>1951982.21104</v>
      </c>
      <c r="E130" s="158">
        <f>C130-D130</f>
        <v>1381736.12898</v>
      </c>
      <c r="F130" s="100">
        <f>SUM(F131:F144)</f>
        <v>3147176.2886099997</v>
      </c>
      <c r="G130" s="100">
        <f t="shared" si="82"/>
        <v>1741913.41864</v>
      </c>
      <c r="H130" s="158">
        <f>F130-G130</f>
        <v>1405262.8699699997</v>
      </c>
      <c r="I130" s="100">
        <f t="shared" si="82"/>
        <v>3251124.1756099998</v>
      </c>
      <c r="J130" s="100">
        <f t="shared" si="82"/>
        <v>1741053.3858799997</v>
      </c>
      <c r="K130" s="158">
        <f>I130-J130</f>
        <v>1510070.7897300001</v>
      </c>
      <c r="L130" s="18">
        <f t="shared" ref="L130:L145" si="83">K130/E130</f>
        <v>1.0928792828517389</v>
      </c>
      <c r="M130" s="102">
        <f t="shared" si="82"/>
        <v>3156519.8926999993</v>
      </c>
      <c r="N130" s="102">
        <f>SUM(N131:N144)</f>
        <v>1705867.6670300001</v>
      </c>
      <c r="O130" s="158">
        <f>M130-N130</f>
        <v>1450652.2256699991</v>
      </c>
      <c r="P130" s="102">
        <f t="shared" si="82"/>
        <v>3360107.6049799998</v>
      </c>
      <c r="Q130" s="102">
        <f t="shared" si="82"/>
        <v>1804128.5594500003</v>
      </c>
      <c r="R130" s="158">
        <f>P130-Q130</f>
        <v>1555979.0455299995</v>
      </c>
      <c r="S130" s="102">
        <f t="shared" si="82"/>
        <v>57063.399999999994</v>
      </c>
      <c r="T130" s="102">
        <f t="shared" si="82"/>
        <v>36556.67</v>
      </c>
      <c r="U130" s="158">
        <f>S130-T130</f>
        <v>20506.729999999996</v>
      </c>
      <c r="V130" s="18">
        <f t="shared" si="81"/>
        <v>1.4841277990710208E-2</v>
      </c>
    </row>
    <row r="131" spans="1:22" x14ac:dyDescent="0.25">
      <c r="A131" s="103"/>
      <c r="B131" s="104" t="s">
        <v>164</v>
      </c>
      <c r="C131" s="105">
        <v>352317.56187999999</v>
      </c>
      <c r="D131" s="105">
        <v>2823.3892700000001</v>
      </c>
      <c r="E131" s="101">
        <f>C131-D131</f>
        <v>349494.17261000001</v>
      </c>
      <c r="F131" s="106">
        <v>363041.09779999999</v>
      </c>
      <c r="G131" s="106">
        <v>1111.0978</v>
      </c>
      <c r="H131" s="101">
        <f>F131-G131</f>
        <v>361930</v>
      </c>
      <c r="I131" s="107">
        <v>386699.07059999998</v>
      </c>
      <c r="J131" s="107">
        <v>6071.0640000000003</v>
      </c>
      <c r="K131" s="101">
        <f>I131-J131</f>
        <v>380628.00659999996</v>
      </c>
      <c r="L131" s="18">
        <f t="shared" si="83"/>
        <v>1.0890825553899639</v>
      </c>
      <c r="M131" s="108">
        <v>363934.99888000003</v>
      </c>
      <c r="N131" s="108">
        <v>6060.3375999999998</v>
      </c>
      <c r="O131" s="101">
        <f>M131-N131</f>
        <v>357874.66128</v>
      </c>
      <c r="P131" s="108">
        <v>406068.72649999999</v>
      </c>
      <c r="Q131" s="108">
        <v>1073.2265</v>
      </c>
      <c r="R131" s="101">
        <f>P131-Q131</f>
        <v>404995.5</v>
      </c>
      <c r="S131" s="108">
        <v>4741.2</v>
      </c>
      <c r="T131" s="108">
        <v>315.2</v>
      </c>
      <c r="U131" s="101">
        <f>S131-T131</f>
        <v>4426</v>
      </c>
      <c r="V131" s="18">
        <f t="shared" si="81"/>
        <v>1.2664016589881647E-2</v>
      </c>
    </row>
    <row r="132" spans="1:22" x14ac:dyDescent="0.25">
      <c r="A132" s="103"/>
      <c r="B132" s="109" t="s">
        <v>165</v>
      </c>
      <c r="C132" s="105">
        <v>4804.4948100000001</v>
      </c>
      <c r="D132" s="105">
        <v>2169.3738499999999</v>
      </c>
      <c r="E132" s="101">
        <f t="shared" ref="E132:E144" si="84">C132-D132</f>
        <v>2635.1209600000002</v>
      </c>
      <c r="F132" s="110">
        <v>2501.2058000000002</v>
      </c>
      <c r="G132" s="110">
        <v>2501.2058000000002</v>
      </c>
      <c r="H132" s="101">
        <f t="shared" ref="H132:H144" si="85">F132-G132</f>
        <v>0</v>
      </c>
      <c r="I132" s="111">
        <v>2567.10646</v>
      </c>
      <c r="J132" s="111">
        <v>2567.10646</v>
      </c>
      <c r="K132" s="101">
        <f t="shared" ref="K132:K144" si="86">I132-J132</f>
        <v>0</v>
      </c>
      <c r="L132" s="18">
        <f t="shared" si="83"/>
        <v>0</v>
      </c>
      <c r="M132" s="93">
        <v>2558.6516000000001</v>
      </c>
      <c r="N132" s="93">
        <v>2558.6516000000001</v>
      </c>
      <c r="O132" s="101">
        <f>M132-N132</f>
        <v>0</v>
      </c>
      <c r="P132" s="108">
        <v>2677.5922500000001</v>
      </c>
      <c r="Q132" s="108">
        <v>2677.5922500000001</v>
      </c>
      <c r="R132" s="101">
        <f t="shared" ref="R132:R144" si="87">P132-Q132</f>
        <v>0</v>
      </c>
      <c r="S132" s="108">
        <v>173.7</v>
      </c>
      <c r="T132" s="108">
        <f>S132</f>
        <v>173.7</v>
      </c>
      <c r="U132" s="101">
        <f t="shared" ref="U132:U144" si="88">S132-T132</f>
        <v>0</v>
      </c>
      <c r="V132" s="18">
        <f t="shared" si="81"/>
        <v>0</v>
      </c>
    </row>
    <row r="133" spans="1:22" x14ac:dyDescent="0.25">
      <c r="A133" s="103"/>
      <c r="B133" s="109" t="s">
        <v>166</v>
      </c>
      <c r="C133" s="93">
        <v>15386.383180000001</v>
      </c>
      <c r="D133" s="93">
        <v>2829.6790299999998</v>
      </c>
      <c r="E133" s="101">
        <f t="shared" si="84"/>
        <v>12556.704150000001</v>
      </c>
      <c r="F133" s="110">
        <v>19294.286479999999</v>
      </c>
      <c r="G133" s="110">
        <v>3099.3864800000001</v>
      </c>
      <c r="H133" s="101">
        <f t="shared" si="85"/>
        <v>16194.899999999998</v>
      </c>
      <c r="I133" s="111">
        <v>22470.786479999999</v>
      </c>
      <c r="J133" s="111">
        <v>3099.3864800000001</v>
      </c>
      <c r="K133" s="101">
        <f t="shared" si="86"/>
        <v>19371.399999999998</v>
      </c>
      <c r="L133" s="18">
        <f t="shared" si="83"/>
        <v>1.5427137383021001</v>
      </c>
      <c r="M133" s="93">
        <v>22216.467670000002</v>
      </c>
      <c r="N133" s="93">
        <v>3083.0834599999998</v>
      </c>
      <c r="O133" s="101">
        <f t="shared" ref="O133:O144" si="89">M133-N133</f>
        <v>19133.384210000004</v>
      </c>
      <c r="P133" s="108">
        <v>27377.812379999999</v>
      </c>
      <c r="Q133" s="108">
        <v>3340.0123800000001</v>
      </c>
      <c r="R133" s="101">
        <f t="shared" si="87"/>
        <v>24037.8</v>
      </c>
      <c r="S133" s="108">
        <f>46+215.6</f>
        <v>261.60000000000002</v>
      </c>
      <c r="T133" s="108">
        <f>211.3-3</f>
        <v>208.3</v>
      </c>
      <c r="U133" s="101">
        <f t="shared" si="88"/>
        <v>53.300000000000011</v>
      </c>
      <c r="V133" s="18">
        <f t="shared" si="81"/>
        <v>4.2447444300103224E-3</v>
      </c>
    </row>
    <row r="134" spans="1:22" x14ac:dyDescent="0.25">
      <c r="A134" s="103"/>
      <c r="B134" s="109" t="s">
        <v>167</v>
      </c>
      <c r="C134" s="111">
        <v>134302.01684</v>
      </c>
      <c r="D134" s="111">
        <v>56925.578119999998</v>
      </c>
      <c r="E134" s="101">
        <f t="shared" si="84"/>
        <v>77376.438720000006</v>
      </c>
      <c r="F134" s="110">
        <v>114752.37227000001</v>
      </c>
      <c r="G134" s="110">
        <v>52146.37227</v>
      </c>
      <c r="H134" s="101">
        <f t="shared" si="85"/>
        <v>62606.000000000007</v>
      </c>
      <c r="I134" s="111">
        <v>136151.00088000001</v>
      </c>
      <c r="J134" s="111">
        <v>75589.452380000002</v>
      </c>
      <c r="K134" s="101">
        <f t="shared" si="86"/>
        <v>60561.548500000004</v>
      </c>
      <c r="L134" s="18">
        <f t="shared" si="83"/>
        <v>0.78268720429422212</v>
      </c>
      <c r="M134" s="93">
        <v>123925.86040999999</v>
      </c>
      <c r="N134" s="93">
        <v>64726.823909999999</v>
      </c>
      <c r="O134" s="101">
        <f t="shared" si="89"/>
        <v>59199.036499999995</v>
      </c>
      <c r="P134" s="108">
        <v>133022.5662</v>
      </c>
      <c r="Q134" s="108">
        <v>47321.866800000003</v>
      </c>
      <c r="R134" s="101">
        <f t="shared" si="87"/>
        <v>85700.699399999998</v>
      </c>
      <c r="S134" s="108">
        <v>415.6</v>
      </c>
      <c r="T134" s="108"/>
      <c r="U134" s="101">
        <f t="shared" si="88"/>
        <v>415.6</v>
      </c>
      <c r="V134" s="18">
        <f t="shared" si="81"/>
        <v>5.3711440701467317E-3</v>
      </c>
    </row>
    <row r="135" spans="1:22" x14ac:dyDescent="0.25">
      <c r="A135" s="103"/>
      <c r="B135" s="109" t="s">
        <v>168</v>
      </c>
      <c r="C135" s="111">
        <v>560201.83079000004</v>
      </c>
      <c r="D135" s="111">
        <v>304711.04715</v>
      </c>
      <c r="E135" s="101">
        <f t="shared" si="84"/>
        <v>255490.78364000004</v>
      </c>
      <c r="F135" s="110">
        <v>270607.20919999998</v>
      </c>
      <c r="G135" s="110">
        <v>60062.639199999998</v>
      </c>
      <c r="H135" s="101">
        <f t="shared" si="85"/>
        <v>210544.56999999998</v>
      </c>
      <c r="I135" s="111">
        <v>395145.70048</v>
      </c>
      <c r="J135" s="111">
        <v>128451.70518999999</v>
      </c>
      <c r="K135" s="101">
        <f t="shared" si="86"/>
        <v>266693.99528999999</v>
      </c>
      <c r="L135" s="18">
        <f t="shared" si="83"/>
        <v>1.0438497682397259</v>
      </c>
      <c r="M135" s="93">
        <v>389259.51011999999</v>
      </c>
      <c r="N135" s="93">
        <v>128305.75526999999</v>
      </c>
      <c r="O135" s="101">
        <f t="shared" si="89"/>
        <v>260953.75485</v>
      </c>
      <c r="P135" s="108">
        <v>349420.55729999999</v>
      </c>
      <c r="Q135" s="108">
        <v>90192.642370000001</v>
      </c>
      <c r="R135" s="101">
        <f t="shared" si="87"/>
        <v>259227.91492999997</v>
      </c>
      <c r="S135" s="108">
        <v>3114.6</v>
      </c>
      <c r="T135" s="108"/>
      <c r="U135" s="101">
        <f t="shared" si="88"/>
        <v>3114.6</v>
      </c>
      <c r="V135" s="18">
        <f t="shared" si="81"/>
        <v>1.2190655003777496E-2</v>
      </c>
    </row>
    <row r="136" spans="1:22" x14ac:dyDescent="0.25">
      <c r="A136" s="103"/>
      <c r="B136" s="109" t="s">
        <v>169</v>
      </c>
      <c r="C136" s="111">
        <v>2511.1727999999998</v>
      </c>
      <c r="D136" s="111">
        <v>0</v>
      </c>
      <c r="E136" s="101">
        <f t="shared" si="84"/>
        <v>2511.1727999999998</v>
      </c>
      <c r="F136" s="110">
        <v>12500</v>
      </c>
      <c r="G136" s="110">
        <v>0</v>
      </c>
      <c r="H136" s="101">
        <f t="shared" si="85"/>
        <v>12500</v>
      </c>
      <c r="I136" s="111">
        <v>36511.480589999999</v>
      </c>
      <c r="J136" s="111">
        <v>3270.7600400000001</v>
      </c>
      <c r="K136" s="101">
        <f t="shared" si="86"/>
        <v>33240.720549999998</v>
      </c>
      <c r="L136" s="18">
        <f t="shared" si="83"/>
        <v>13.237129898030116</v>
      </c>
      <c r="M136" s="93">
        <v>9611.3172900000009</v>
      </c>
      <c r="N136" s="93">
        <v>3270.7600400000001</v>
      </c>
      <c r="O136" s="101">
        <f t="shared" si="89"/>
        <v>6340.5572500000007</v>
      </c>
      <c r="P136" s="108">
        <v>48415.4</v>
      </c>
      <c r="Q136" s="108">
        <v>0</v>
      </c>
      <c r="R136" s="101">
        <f t="shared" si="87"/>
        <v>48415.4</v>
      </c>
      <c r="S136" s="108">
        <v>0</v>
      </c>
      <c r="T136" s="108"/>
      <c r="U136" s="101">
        <f t="shared" si="88"/>
        <v>0</v>
      </c>
      <c r="V136" s="18">
        <f t="shared" si="81"/>
        <v>0</v>
      </c>
    </row>
    <row r="137" spans="1:22" x14ac:dyDescent="0.25">
      <c r="A137" s="103"/>
      <c r="B137" s="109" t="s">
        <v>170</v>
      </c>
      <c r="C137" s="111">
        <v>1601674.93579</v>
      </c>
      <c r="D137" s="111">
        <v>1095160.5503</v>
      </c>
      <c r="E137" s="101">
        <f t="shared" si="84"/>
        <v>506514.38549000002</v>
      </c>
      <c r="F137" s="110">
        <v>1637257.89897</v>
      </c>
      <c r="G137" s="110">
        <v>1119062.399</v>
      </c>
      <c r="H137" s="101">
        <f t="shared" si="85"/>
        <v>518195.49997</v>
      </c>
      <c r="I137" s="111">
        <v>1717766.1139400001</v>
      </c>
      <c r="J137" s="111">
        <v>1172286.7371799999</v>
      </c>
      <c r="K137" s="101">
        <f t="shared" si="86"/>
        <v>545479.37676000013</v>
      </c>
      <c r="L137" s="18">
        <f t="shared" si="83"/>
        <v>1.0769277090369418</v>
      </c>
      <c r="M137" s="93">
        <v>1699241.2442900001</v>
      </c>
      <c r="N137" s="93">
        <v>1154976.9460400001</v>
      </c>
      <c r="O137" s="101">
        <f t="shared" si="89"/>
        <v>544264.29824999999</v>
      </c>
      <c r="P137" s="108">
        <v>1931927.12225</v>
      </c>
      <c r="Q137" s="108">
        <v>1392298.9222500001</v>
      </c>
      <c r="R137" s="101">
        <f t="shared" si="87"/>
        <v>539628.19999999995</v>
      </c>
      <c r="S137" s="108">
        <f>31862.3-1003</f>
        <v>30859.3</v>
      </c>
      <c r="T137" s="108">
        <f>27058.6</f>
        <v>27058.6</v>
      </c>
      <c r="U137" s="101">
        <f t="shared" si="88"/>
        <v>3800.7000000000007</v>
      </c>
      <c r="V137" s="18">
        <f t="shared" si="81"/>
        <v>7.5036368341705019E-3</v>
      </c>
    </row>
    <row r="138" spans="1:22" x14ac:dyDescent="0.25">
      <c r="A138" s="103"/>
      <c r="B138" s="109" t="s">
        <v>171</v>
      </c>
      <c r="C138" s="111">
        <v>447311.87654000003</v>
      </c>
      <c r="D138" s="111">
        <v>348960.60313</v>
      </c>
      <c r="E138" s="101">
        <f t="shared" si="84"/>
        <v>98351.273410000023</v>
      </c>
      <c r="F138" s="110">
        <v>466622.26309000002</v>
      </c>
      <c r="G138" s="110">
        <v>367173.76309000002</v>
      </c>
      <c r="H138" s="101">
        <f t="shared" si="85"/>
        <v>99448.5</v>
      </c>
      <c r="I138" s="111">
        <v>312999.44582999998</v>
      </c>
      <c r="J138" s="111">
        <v>215747.4774</v>
      </c>
      <c r="K138" s="101">
        <f t="shared" si="86"/>
        <v>97251.968429999979</v>
      </c>
      <c r="L138" s="18">
        <f t="shared" si="83"/>
        <v>0.98882266653104389</v>
      </c>
      <c r="M138" s="93">
        <v>312117.27438000002</v>
      </c>
      <c r="N138" s="93">
        <v>215747.4774</v>
      </c>
      <c r="O138" s="101">
        <f t="shared" si="89"/>
        <v>96369.796980000014</v>
      </c>
      <c r="P138" s="108">
        <v>209813.64</v>
      </c>
      <c r="Q138" s="108">
        <v>118321.6388</v>
      </c>
      <c r="R138" s="101">
        <f t="shared" si="87"/>
        <v>91492.001200000013</v>
      </c>
      <c r="S138" s="108">
        <v>9453.7000000000007</v>
      </c>
      <c r="T138" s="108">
        <f>3012.4-224.03</f>
        <v>2788.37</v>
      </c>
      <c r="U138" s="101">
        <f t="shared" si="88"/>
        <v>6665.3300000000008</v>
      </c>
      <c r="V138" s="18">
        <f t="shared" si="81"/>
        <v>6.7770652772476389E-2</v>
      </c>
    </row>
    <row r="139" spans="1:22" x14ac:dyDescent="0.25">
      <c r="A139" s="103"/>
      <c r="B139" s="109" t="s">
        <v>172</v>
      </c>
      <c r="C139" s="111"/>
      <c r="D139" s="111"/>
      <c r="E139" s="101">
        <f t="shared" si="84"/>
        <v>0</v>
      </c>
      <c r="F139" s="110"/>
      <c r="G139" s="110"/>
      <c r="H139" s="101">
        <f t="shared" si="85"/>
        <v>0</v>
      </c>
      <c r="I139" s="111"/>
      <c r="J139" s="111"/>
      <c r="K139" s="101">
        <f t="shared" si="86"/>
        <v>0</v>
      </c>
      <c r="L139" s="18" t="e">
        <f t="shared" si="83"/>
        <v>#DIV/0!</v>
      </c>
      <c r="M139" s="93"/>
      <c r="N139" s="93"/>
      <c r="O139" s="101">
        <f t="shared" si="89"/>
        <v>0</v>
      </c>
      <c r="P139" s="108"/>
      <c r="Q139" s="108"/>
      <c r="R139" s="101">
        <f t="shared" si="87"/>
        <v>0</v>
      </c>
      <c r="S139" s="108"/>
      <c r="T139" s="108"/>
      <c r="U139" s="101">
        <f t="shared" si="88"/>
        <v>0</v>
      </c>
      <c r="V139" s="18" t="e">
        <f t="shared" si="81"/>
        <v>#DIV/0!</v>
      </c>
    </row>
    <row r="140" spans="1:22" x14ac:dyDescent="0.25">
      <c r="A140" s="103"/>
      <c r="B140" s="109" t="s">
        <v>173</v>
      </c>
      <c r="C140" s="111">
        <v>88709.376969999998</v>
      </c>
      <c r="D140" s="111">
        <v>82848.399619999997</v>
      </c>
      <c r="E140" s="101">
        <f t="shared" si="84"/>
        <v>5860.977350000001</v>
      </c>
      <c r="F140" s="110">
        <v>116408.655</v>
      </c>
      <c r="G140" s="110">
        <v>110608.855</v>
      </c>
      <c r="H140" s="101">
        <f t="shared" si="85"/>
        <v>5799.8000000000029</v>
      </c>
      <c r="I140" s="111">
        <v>111534.48543</v>
      </c>
      <c r="J140" s="111">
        <v>105408.5521</v>
      </c>
      <c r="K140" s="101">
        <f t="shared" si="86"/>
        <v>6125.9333299999998</v>
      </c>
      <c r="L140" s="18">
        <f t="shared" si="83"/>
        <v>1.0452067913212459</v>
      </c>
      <c r="M140" s="93">
        <v>104910.85962</v>
      </c>
      <c r="N140" s="93">
        <v>98786.926290000003</v>
      </c>
      <c r="O140" s="101">
        <f t="shared" si="89"/>
        <v>6123.9333299999998</v>
      </c>
      <c r="P140" s="108">
        <v>124867.92110000001</v>
      </c>
      <c r="Q140" s="108">
        <v>118272.0211</v>
      </c>
      <c r="R140" s="101">
        <f t="shared" si="87"/>
        <v>6595.9000000000087</v>
      </c>
      <c r="S140" s="108">
        <f>4987.2</f>
        <v>4987.2</v>
      </c>
      <c r="T140" s="108">
        <v>4987.2</v>
      </c>
      <c r="U140" s="101">
        <f t="shared" si="88"/>
        <v>0</v>
      </c>
      <c r="V140" s="18">
        <f t="shared" si="81"/>
        <v>0</v>
      </c>
    </row>
    <row r="141" spans="1:22" x14ac:dyDescent="0.25">
      <c r="A141" s="103"/>
      <c r="B141" s="109" t="s">
        <v>174</v>
      </c>
      <c r="C141" s="111">
        <v>119302.32921</v>
      </c>
      <c r="D141" s="111">
        <v>55553.59057</v>
      </c>
      <c r="E141" s="101">
        <f t="shared" si="84"/>
        <v>63748.738639999996</v>
      </c>
      <c r="F141" s="110">
        <v>135838.79999999999</v>
      </c>
      <c r="G141" s="110">
        <v>26147.7</v>
      </c>
      <c r="H141" s="101">
        <f t="shared" si="85"/>
        <v>109691.09999999999</v>
      </c>
      <c r="I141" s="111">
        <v>119979.48736</v>
      </c>
      <c r="J141" s="111">
        <f>-541.91935+29103.064</f>
        <v>28561.144649999998</v>
      </c>
      <c r="K141" s="101">
        <f t="shared" si="86"/>
        <v>91418.342709999997</v>
      </c>
      <c r="L141" s="18">
        <f t="shared" si="83"/>
        <v>1.4340415929835879</v>
      </c>
      <c r="M141" s="93">
        <v>119444.21088</v>
      </c>
      <c r="N141" s="93">
        <v>28350.905419999999</v>
      </c>
      <c r="O141" s="101">
        <f t="shared" si="89"/>
        <v>91093.305460000003</v>
      </c>
      <c r="P141" s="108">
        <v>116779.867</v>
      </c>
      <c r="Q141" s="108">
        <v>30630.636999999999</v>
      </c>
      <c r="R141" s="101">
        <f t="shared" si="87"/>
        <v>86149.23</v>
      </c>
      <c r="S141" s="108">
        <v>2741.3</v>
      </c>
      <c r="T141" s="108">
        <v>1025.3</v>
      </c>
      <c r="U141" s="101">
        <f t="shared" si="88"/>
        <v>1716.0000000000002</v>
      </c>
      <c r="V141" s="18">
        <f t="shared" si="81"/>
        <v>2.6918179662981961E-2</v>
      </c>
    </row>
    <row r="142" spans="1:22" x14ac:dyDescent="0.25">
      <c r="A142" s="103"/>
      <c r="B142" s="109" t="s">
        <v>175</v>
      </c>
      <c r="C142" s="111">
        <v>7093</v>
      </c>
      <c r="D142" s="111">
        <v>0</v>
      </c>
      <c r="E142" s="101">
        <f t="shared" si="84"/>
        <v>7093</v>
      </c>
      <c r="F142" s="110">
        <v>8127.2</v>
      </c>
      <c r="G142" s="110">
        <v>0</v>
      </c>
      <c r="H142" s="101">
        <f t="shared" si="85"/>
        <v>8127.2</v>
      </c>
      <c r="I142" s="111">
        <v>9218.7999999999993</v>
      </c>
      <c r="J142" s="111"/>
      <c r="K142" s="101">
        <f t="shared" si="86"/>
        <v>9218.7999999999993</v>
      </c>
      <c r="L142" s="18">
        <f t="shared" si="83"/>
        <v>1.2997039334555194</v>
      </c>
      <c r="M142" s="93">
        <v>9218.7999999999993</v>
      </c>
      <c r="N142" s="93"/>
      <c r="O142" s="101">
        <f t="shared" si="89"/>
        <v>9218.7999999999993</v>
      </c>
      <c r="P142" s="108">
        <v>9592.9</v>
      </c>
      <c r="Q142" s="108">
        <v>0</v>
      </c>
      <c r="R142" s="101">
        <f t="shared" si="87"/>
        <v>9592.9</v>
      </c>
      <c r="S142" s="108">
        <v>315.2</v>
      </c>
      <c r="T142" s="108"/>
      <c r="U142" s="101">
        <f t="shared" si="88"/>
        <v>315.2</v>
      </c>
      <c r="V142" s="18">
        <f t="shared" si="81"/>
        <v>4.4438178485831099E-2</v>
      </c>
    </row>
    <row r="143" spans="1:22" x14ac:dyDescent="0.25">
      <c r="A143" s="103"/>
      <c r="B143" s="109" t="s">
        <v>176</v>
      </c>
      <c r="C143" s="111">
        <v>103.36121</v>
      </c>
      <c r="D143" s="111">
        <v>0</v>
      </c>
      <c r="E143" s="101">
        <f t="shared" si="84"/>
        <v>103.36121</v>
      </c>
      <c r="F143" s="110">
        <v>225.3</v>
      </c>
      <c r="G143" s="110">
        <v>0</v>
      </c>
      <c r="H143" s="101">
        <f t="shared" si="85"/>
        <v>225.3</v>
      </c>
      <c r="I143" s="111">
        <v>80.697559999999996</v>
      </c>
      <c r="J143" s="111"/>
      <c r="K143" s="101">
        <f t="shared" si="86"/>
        <v>80.697559999999996</v>
      </c>
      <c r="L143" s="18">
        <f t="shared" si="83"/>
        <v>0.78073350727995539</v>
      </c>
      <c r="M143" s="93">
        <v>80.697559999999996</v>
      </c>
      <c r="N143" s="93"/>
      <c r="O143" s="101">
        <f t="shared" si="89"/>
        <v>80.697559999999996</v>
      </c>
      <c r="P143" s="108">
        <v>143.5</v>
      </c>
      <c r="Q143" s="108">
        <v>0</v>
      </c>
      <c r="R143" s="101">
        <f t="shared" si="87"/>
        <v>143.5</v>
      </c>
      <c r="S143" s="108">
        <v>0</v>
      </c>
      <c r="T143" s="108"/>
      <c r="U143" s="101">
        <f t="shared" si="88"/>
        <v>0</v>
      </c>
      <c r="V143" s="18">
        <f t="shared" si="81"/>
        <v>0</v>
      </c>
    </row>
    <row r="144" spans="1:22" x14ac:dyDescent="0.25">
      <c r="A144" s="103"/>
      <c r="B144" s="109" t="s">
        <v>177</v>
      </c>
      <c r="C144" s="111"/>
      <c r="D144" s="111"/>
      <c r="E144" s="101">
        <f t="shared" si="84"/>
        <v>0</v>
      </c>
      <c r="F144" s="110"/>
      <c r="G144" s="110"/>
      <c r="H144" s="101">
        <f t="shared" si="85"/>
        <v>0</v>
      </c>
      <c r="I144" s="111"/>
      <c r="J144" s="111"/>
      <c r="K144" s="101">
        <f t="shared" si="86"/>
        <v>0</v>
      </c>
      <c r="L144" s="18" t="e">
        <f t="shared" si="83"/>
        <v>#DIV/0!</v>
      </c>
      <c r="M144" s="93"/>
      <c r="N144" s="93"/>
      <c r="O144" s="101">
        <f t="shared" si="89"/>
        <v>0</v>
      </c>
      <c r="P144" s="93"/>
      <c r="Q144" s="93"/>
      <c r="R144" s="101">
        <f t="shared" si="87"/>
        <v>0</v>
      </c>
      <c r="S144" s="108"/>
      <c r="T144" s="108"/>
      <c r="U144" s="101">
        <f t="shared" si="88"/>
        <v>0</v>
      </c>
      <c r="V144" s="18" t="e">
        <f t="shared" si="81"/>
        <v>#DIV/0!</v>
      </c>
    </row>
    <row r="145" spans="1:22" x14ac:dyDescent="0.25">
      <c r="A145" s="103"/>
      <c r="B145" s="112" t="s">
        <v>178</v>
      </c>
      <c r="C145" s="113">
        <f>SUM(C131:C144)</f>
        <v>3333718.34002</v>
      </c>
      <c r="D145" s="113">
        <f t="shared" ref="D145:U145" si="90">SUM(D131:D144)</f>
        <v>1951982.21104</v>
      </c>
      <c r="E145" s="114">
        <f t="shared" si="90"/>
        <v>1381736.1289799998</v>
      </c>
      <c r="F145" s="113">
        <f t="shared" si="90"/>
        <v>3147176.2886099997</v>
      </c>
      <c r="G145" s="113">
        <f t="shared" si="90"/>
        <v>1741913.41864</v>
      </c>
      <c r="H145" s="113">
        <f t="shared" si="90"/>
        <v>1405262.8699700001</v>
      </c>
      <c r="I145" s="113">
        <f t="shared" si="90"/>
        <v>3251124.1756099998</v>
      </c>
      <c r="J145" s="113">
        <f t="shared" si="90"/>
        <v>1741053.3858799997</v>
      </c>
      <c r="K145" s="113">
        <f t="shared" si="90"/>
        <v>1510070.7897299998</v>
      </c>
      <c r="L145" s="18">
        <f t="shared" si="83"/>
        <v>1.0928792828517389</v>
      </c>
      <c r="M145" s="113">
        <f t="shared" si="90"/>
        <v>3156519.8926999993</v>
      </c>
      <c r="N145" s="113">
        <f>SUM(N131:N144)</f>
        <v>1705867.6670300001</v>
      </c>
      <c r="O145" s="113">
        <f t="shared" si="90"/>
        <v>1450652.2256700001</v>
      </c>
      <c r="P145" s="113">
        <f t="shared" si="90"/>
        <v>3360107.6049799998</v>
      </c>
      <c r="Q145" s="113">
        <f t="shared" si="90"/>
        <v>1804128.5594500003</v>
      </c>
      <c r="R145" s="113">
        <f t="shared" si="90"/>
        <v>1555979.0455299998</v>
      </c>
      <c r="S145" s="113">
        <f>S131+S132+S133+S134+S135+S136+S137+S138+S139+S140+S141+S143+S142+S144</f>
        <v>57063.399999999994</v>
      </c>
      <c r="T145" s="113">
        <f>T131+T132+T133+T134+T135+T136+T137+T138+T139+T140+T141+T143+T142+T144</f>
        <v>36556.67</v>
      </c>
      <c r="U145" s="113">
        <f t="shared" si="90"/>
        <v>20506.730000000003</v>
      </c>
      <c r="V145" s="18">
        <f t="shared" si="81"/>
        <v>1.4841277990710215E-2</v>
      </c>
    </row>
    <row r="146" spans="1:22" x14ac:dyDescent="0.25">
      <c r="A146" s="103"/>
      <c r="B146" s="112" t="s">
        <v>179</v>
      </c>
      <c r="C146" s="115">
        <f t="shared" ref="C146:K146" si="91">C104-C145</f>
        <v>0</v>
      </c>
      <c r="D146" s="115">
        <f t="shared" si="91"/>
        <v>0</v>
      </c>
      <c r="E146" s="115">
        <f t="shared" si="91"/>
        <v>0</v>
      </c>
      <c r="F146" s="113">
        <f t="shared" si="91"/>
        <v>0</v>
      </c>
      <c r="G146" s="113">
        <f t="shared" si="91"/>
        <v>0.32003000006079674</v>
      </c>
      <c r="H146" s="113">
        <f t="shared" si="91"/>
        <v>-0.32003000052645802</v>
      </c>
      <c r="I146" s="113">
        <f t="shared" si="91"/>
        <v>0</v>
      </c>
      <c r="J146" s="113">
        <f t="shared" si="91"/>
        <v>0</v>
      </c>
      <c r="K146" s="113">
        <f t="shared" si="91"/>
        <v>0</v>
      </c>
      <c r="L146" s="116"/>
      <c r="M146" s="113">
        <f t="shared" ref="M146:U146" si="92">M104-M145</f>
        <v>0</v>
      </c>
      <c r="N146" s="113">
        <f t="shared" si="92"/>
        <v>0</v>
      </c>
      <c r="O146" s="113">
        <f t="shared" si="92"/>
        <v>0</v>
      </c>
      <c r="P146" s="113">
        <f t="shared" si="92"/>
        <v>0</v>
      </c>
      <c r="Q146" s="113">
        <f t="shared" si="92"/>
        <v>0</v>
      </c>
      <c r="R146" s="113">
        <f t="shared" si="92"/>
        <v>0</v>
      </c>
      <c r="S146" s="113">
        <f t="shared" si="92"/>
        <v>0.30388000000675675</v>
      </c>
      <c r="T146" s="113">
        <f t="shared" si="92"/>
        <v>-4.9999999995634425E-2</v>
      </c>
      <c r="U146" s="113">
        <f t="shared" si="92"/>
        <v>0.35387999999511521</v>
      </c>
      <c r="V146" s="18"/>
    </row>
    <row r="147" spans="1:22" x14ac:dyDescent="0.25">
      <c r="A147" s="90" t="s">
        <v>180</v>
      </c>
      <c r="B147" s="117" t="s">
        <v>181</v>
      </c>
      <c r="C147" s="118"/>
      <c r="D147" s="119"/>
      <c r="E147" s="120"/>
      <c r="F147" s="121"/>
      <c r="G147" s="121"/>
      <c r="H147" s="121"/>
      <c r="I147" s="121"/>
      <c r="J147" s="121"/>
      <c r="K147" s="121"/>
      <c r="L147" s="122"/>
      <c r="M147" s="123"/>
      <c r="N147" s="121"/>
      <c r="O147" s="121"/>
      <c r="P147" s="123"/>
      <c r="Q147" s="121"/>
      <c r="R147" s="121"/>
      <c r="S147" s="123"/>
      <c r="T147" s="121"/>
      <c r="U147" s="121"/>
      <c r="V147" s="18"/>
    </row>
    <row r="148" spans="1:22" x14ac:dyDescent="0.25">
      <c r="A148" s="14" t="s">
        <v>182</v>
      </c>
      <c r="B148" s="24" t="s">
        <v>183</v>
      </c>
      <c r="C148" s="119" t="s">
        <v>184</v>
      </c>
      <c r="D148" s="120" t="s">
        <v>184</v>
      </c>
      <c r="E148" s="120" t="s">
        <v>184</v>
      </c>
      <c r="F148" s="121" t="s">
        <v>184</v>
      </c>
      <c r="G148" s="121" t="s">
        <v>184</v>
      </c>
      <c r="H148" s="121" t="s">
        <v>184</v>
      </c>
      <c r="I148" s="121" t="s">
        <v>184</v>
      </c>
      <c r="J148" s="121" t="s">
        <v>184</v>
      </c>
      <c r="K148" s="122" t="s">
        <v>184</v>
      </c>
      <c r="L148" s="119" t="s">
        <v>184</v>
      </c>
      <c r="M148" s="120" t="s">
        <v>184</v>
      </c>
      <c r="N148" s="120" t="s">
        <v>184</v>
      </c>
      <c r="O148" s="119" t="s">
        <v>184</v>
      </c>
      <c r="P148" s="119" t="s">
        <v>184</v>
      </c>
      <c r="Q148" s="119" t="s">
        <v>184</v>
      </c>
      <c r="R148" s="119" t="s">
        <v>184</v>
      </c>
      <c r="S148" s="119" t="s">
        <v>184</v>
      </c>
      <c r="T148" s="121" t="s">
        <v>184</v>
      </c>
      <c r="U148" s="121" t="s">
        <v>184</v>
      </c>
      <c r="V148" s="121" t="s">
        <v>184</v>
      </c>
    </row>
    <row r="149" spans="1:22" x14ac:dyDescent="0.25">
      <c r="A149" s="14"/>
      <c r="B149" s="33" t="s">
        <v>185</v>
      </c>
      <c r="C149" s="34">
        <f>71718.8-178.2</f>
        <v>71540.600000000006</v>
      </c>
      <c r="D149" s="34">
        <v>55573.1</v>
      </c>
      <c r="E149" s="35">
        <f t="shared" ref="E149:E150" si="93">C149-D149</f>
        <v>15967.500000000007</v>
      </c>
      <c r="F149" s="34">
        <v>62635.947670000001</v>
      </c>
      <c r="G149" s="34">
        <v>48217.04767</v>
      </c>
      <c r="H149" s="35">
        <f t="shared" ref="H149:H150" si="94">F149-G149</f>
        <v>14418.900000000001</v>
      </c>
      <c r="I149" s="34">
        <v>71293.39</v>
      </c>
      <c r="J149" s="34">
        <v>54546.1</v>
      </c>
      <c r="K149" s="35">
        <f t="shared" ref="K149:K150" si="95">I149-J149</f>
        <v>16747.29</v>
      </c>
      <c r="L149" s="36">
        <f>K149/E149</f>
        <v>1.0488360732738371</v>
      </c>
      <c r="M149" s="34">
        <v>68182.25</v>
      </c>
      <c r="N149" s="34">
        <v>51245.7</v>
      </c>
      <c r="O149" s="35">
        <f t="shared" ref="O149:O150" si="96">M149-N149</f>
        <v>16936.550000000003</v>
      </c>
      <c r="P149" s="34">
        <f>17105.1+40631.4112+3499.2</f>
        <v>61235.711199999998</v>
      </c>
      <c r="Q149" s="34">
        <f>40631.4112+3499.2</f>
        <v>44130.611199999999</v>
      </c>
      <c r="R149" s="35">
        <f t="shared" ref="R149:R150" si="97">P149-Q149</f>
        <v>17105.099999999999</v>
      </c>
      <c r="S149" s="34">
        <v>1509.98506</v>
      </c>
      <c r="T149" s="34">
        <v>0</v>
      </c>
      <c r="U149" s="35">
        <f t="shared" ref="U149:U150" si="98">S149-T149</f>
        <v>1509.98506</v>
      </c>
      <c r="V149" s="36">
        <f>U149/E149</f>
        <v>9.4566153749804246E-2</v>
      </c>
    </row>
    <row r="150" spans="1:22" x14ac:dyDescent="0.25">
      <c r="A150" s="14"/>
      <c r="B150" s="124" t="s">
        <v>186</v>
      </c>
      <c r="C150" s="34">
        <v>65206.3</v>
      </c>
      <c r="D150" s="34">
        <v>49594</v>
      </c>
      <c r="E150" s="35">
        <f t="shared" si="93"/>
        <v>15612.300000000003</v>
      </c>
      <c r="F150" s="34">
        <v>62635.947670000001</v>
      </c>
      <c r="G150" s="34">
        <v>48217.04767</v>
      </c>
      <c r="H150" s="35">
        <f t="shared" si="94"/>
        <v>14418.900000000001</v>
      </c>
      <c r="I150" s="34">
        <v>77308.259999999995</v>
      </c>
      <c r="J150" s="34">
        <v>54546.1</v>
      </c>
      <c r="K150" s="35">
        <f t="shared" si="95"/>
        <v>22762.159999999996</v>
      </c>
      <c r="L150" s="36">
        <f>K150/E150</f>
        <v>1.4579632725479263</v>
      </c>
      <c r="M150" s="34">
        <v>74007.850000000006</v>
      </c>
      <c r="N150" s="34">
        <v>51245.7</v>
      </c>
      <c r="O150" s="35">
        <f t="shared" si="96"/>
        <v>22762.150000000009</v>
      </c>
      <c r="P150" s="34">
        <v>61235.711199999998</v>
      </c>
      <c r="Q150" s="34">
        <v>44130.611199999999</v>
      </c>
      <c r="R150" s="35">
        <f t="shared" si="97"/>
        <v>17105.099999999999</v>
      </c>
      <c r="S150" s="34">
        <v>0</v>
      </c>
      <c r="T150" s="34">
        <v>0</v>
      </c>
      <c r="U150" s="35">
        <f t="shared" si="98"/>
        <v>0</v>
      </c>
      <c r="V150" s="36">
        <f>U150/E150</f>
        <v>0</v>
      </c>
    </row>
    <row r="151" spans="1:22" x14ac:dyDescent="0.25">
      <c r="A151" s="14" t="s">
        <v>187</v>
      </c>
      <c r="B151" s="125" t="s">
        <v>188</v>
      </c>
      <c r="C151" s="126">
        <f>C152</f>
        <v>92460</v>
      </c>
      <c r="D151" s="119" t="s">
        <v>184</v>
      </c>
      <c r="E151" s="120" t="s">
        <v>184</v>
      </c>
      <c r="F151" s="121" t="s">
        <v>184</v>
      </c>
      <c r="G151" s="121" t="s">
        <v>184</v>
      </c>
      <c r="H151" s="121" t="s">
        <v>184</v>
      </c>
      <c r="I151" s="121" t="s">
        <v>184</v>
      </c>
      <c r="J151" s="121" t="s">
        <v>184</v>
      </c>
      <c r="K151" s="121" t="s">
        <v>184</v>
      </c>
      <c r="L151" s="122" t="s">
        <v>184</v>
      </c>
      <c r="M151" s="123">
        <f>M152</f>
        <v>53950</v>
      </c>
      <c r="N151" s="121" t="s">
        <v>184</v>
      </c>
      <c r="O151" s="121" t="s">
        <v>184</v>
      </c>
      <c r="P151" s="123">
        <f>P152</f>
        <v>53950</v>
      </c>
      <c r="Q151" s="121" t="s">
        <v>184</v>
      </c>
      <c r="R151" s="121" t="s">
        <v>184</v>
      </c>
      <c r="S151" s="121" t="s">
        <v>184</v>
      </c>
      <c r="T151" s="121" t="s">
        <v>184</v>
      </c>
      <c r="U151" s="121" t="s">
        <v>184</v>
      </c>
      <c r="V151" s="18" t="e">
        <f t="shared" ref="V151:V164" si="99">S151/C151</f>
        <v>#VALUE!</v>
      </c>
    </row>
    <row r="152" spans="1:22" x14ac:dyDescent="0.25">
      <c r="A152" s="14"/>
      <c r="B152" s="125" t="s">
        <v>189</v>
      </c>
      <c r="C152" s="126">
        <v>92460</v>
      </c>
      <c r="D152" s="119" t="s">
        <v>184</v>
      </c>
      <c r="E152" s="120" t="s">
        <v>184</v>
      </c>
      <c r="F152" s="121" t="s">
        <v>184</v>
      </c>
      <c r="G152" s="121" t="s">
        <v>184</v>
      </c>
      <c r="H152" s="121" t="s">
        <v>184</v>
      </c>
      <c r="I152" s="121" t="s">
        <v>184</v>
      </c>
      <c r="J152" s="121" t="s">
        <v>184</v>
      </c>
      <c r="K152" s="121" t="s">
        <v>184</v>
      </c>
      <c r="L152" s="122" t="s">
        <v>184</v>
      </c>
      <c r="M152" s="93">
        <v>53950</v>
      </c>
      <c r="N152" s="121" t="s">
        <v>184</v>
      </c>
      <c r="O152" s="121" t="s">
        <v>184</v>
      </c>
      <c r="P152" s="93">
        <f>M152</f>
        <v>53950</v>
      </c>
      <c r="Q152" s="121" t="s">
        <v>184</v>
      </c>
      <c r="R152" s="121" t="s">
        <v>184</v>
      </c>
      <c r="S152" s="121" t="s">
        <v>184</v>
      </c>
      <c r="T152" s="121" t="s">
        <v>184</v>
      </c>
      <c r="U152" s="121" t="s">
        <v>184</v>
      </c>
      <c r="V152" s="18" t="e">
        <f t="shared" si="99"/>
        <v>#VALUE!</v>
      </c>
    </row>
    <row r="153" spans="1:22" x14ac:dyDescent="0.25">
      <c r="A153" s="14"/>
      <c r="B153" s="125" t="s">
        <v>190</v>
      </c>
      <c r="C153" s="126"/>
      <c r="D153" s="119" t="s">
        <v>184</v>
      </c>
      <c r="E153" s="120" t="s">
        <v>184</v>
      </c>
      <c r="F153" s="121" t="s">
        <v>184</v>
      </c>
      <c r="G153" s="121" t="s">
        <v>184</v>
      </c>
      <c r="H153" s="121" t="s">
        <v>184</v>
      </c>
      <c r="I153" s="121" t="s">
        <v>184</v>
      </c>
      <c r="J153" s="121" t="s">
        <v>184</v>
      </c>
      <c r="K153" s="121" t="s">
        <v>184</v>
      </c>
      <c r="L153" s="122" t="s">
        <v>184</v>
      </c>
      <c r="M153" s="123">
        <v>0</v>
      </c>
      <c r="N153" s="121" t="s">
        <v>184</v>
      </c>
      <c r="O153" s="121" t="s">
        <v>184</v>
      </c>
      <c r="P153" s="123"/>
      <c r="Q153" s="121" t="s">
        <v>184</v>
      </c>
      <c r="R153" s="121" t="s">
        <v>184</v>
      </c>
      <c r="S153" s="93">
        <f>C153+S115</f>
        <v>0</v>
      </c>
      <c r="T153" s="121" t="s">
        <v>184</v>
      </c>
      <c r="U153" s="121" t="s">
        <v>184</v>
      </c>
      <c r="V153" s="18" t="e">
        <f t="shared" si="99"/>
        <v>#DIV/0!</v>
      </c>
    </row>
    <row r="154" spans="1:22" x14ac:dyDescent="0.25">
      <c r="A154" s="14"/>
      <c r="B154" s="125" t="s">
        <v>191</v>
      </c>
      <c r="C154" s="126"/>
      <c r="D154" s="119" t="s">
        <v>184</v>
      </c>
      <c r="E154" s="120" t="s">
        <v>184</v>
      </c>
      <c r="F154" s="121" t="s">
        <v>184</v>
      </c>
      <c r="G154" s="121" t="s">
        <v>184</v>
      </c>
      <c r="H154" s="121" t="s">
        <v>184</v>
      </c>
      <c r="I154" s="121" t="s">
        <v>184</v>
      </c>
      <c r="J154" s="121" t="s">
        <v>184</v>
      </c>
      <c r="K154" s="121" t="s">
        <v>184</v>
      </c>
      <c r="L154" s="122" t="s">
        <v>184</v>
      </c>
      <c r="M154" s="123">
        <v>0</v>
      </c>
      <c r="N154" s="121" t="s">
        <v>184</v>
      </c>
      <c r="O154" s="121" t="s">
        <v>184</v>
      </c>
      <c r="P154" s="123"/>
      <c r="Q154" s="121" t="s">
        <v>184</v>
      </c>
      <c r="R154" s="121" t="s">
        <v>184</v>
      </c>
      <c r="S154" s="123"/>
      <c r="T154" s="121" t="s">
        <v>184</v>
      </c>
      <c r="U154" s="121" t="s">
        <v>184</v>
      </c>
      <c r="V154" s="18" t="e">
        <f t="shared" si="99"/>
        <v>#DIV/0!</v>
      </c>
    </row>
    <row r="155" spans="1:22" ht="56.25" customHeight="1" x14ac:dyDescent="0.25">
      <c r="A155" s="14" t="s">
        <v>192</v>
      </c>
      <c r="B155" s="127" t="s">
        <v>215</v>
      </c>
      <c r="C155" s="126">
        <f>9+11+49.95+15.5</f>
        <v>85.45</v>
      </c>
      <c r="D155" s="119" t="s">
        <v>184</v>
      </c>
      <c r="E155" s="120" t="s">
        <v>184</v>
      </c>
      <c r="F155" s="123">
        <v>107.95</v>
      </c>
      <c r="G155" s="121" t="s">
        <v>184</v>
      </c>
      <c r="H155" s="121" t="s">
        <v>184</v>
      </c>
      <c r="I155" s="123">
        <v>100.95</v>
      </c>
      <c r="J155" s="121" t="s">
        <v>184</v>
      </c>
      <c r="K155" s="121" t="s">
        <v>184</v>
      </c>
      <c r="L155" s="122">
        <f t="shared" ref="L155:L164" si="100">I155/C155</f>
        <v>1.1813926272674078</v>
      </c>
      <c r="M155" s="121">
        <f>94.5-8</f>
        <v>86.5</v>
      </c>
      <c r="N155" s="121" t="s">
        <v>184</v>
      </c>
      <c r="O155" s="121" t="s">
        <v>184</v>
      </c>
      <c r="P155" s="121">
        <v>100.95</v>
      </c>
      <c r="Q155" s="121" t="s">
        <v>184</v>
      </c>
      <c r="R155" s="121" t="s">
        <v>184</v>
      </c>
      <c r="S155" s="123">
        <f>P155</f>
        <v>100.95</v>
      </c>
      <c r="T155" s="121" t="s">
        <v>184</v>
      </c>
      <c r="U155" s="121" t="s">
        <v>184</v>
      </c>
      <c r="V155" s="18">
        <f t="shared" si="99"/>
        <v>1.1813926272674078</v>
      </c>
    </row>
    <row r="156" spans="1:22" ht="63.75" x14ac:dyDescent="0.25">
      <c r="A156" s="14"/>
      <c r="B156" s="127" t="s">
        <v>216</v>
      </c>
      <c r="C156" s="126">
        <v>98.6</v>
      </c>
      <c r="D156" s="119" t="s">
        <v>184</v>
      </c>
      <c r="E156" s="120" t="s">
        <v>184</v>
      </c>
      <c r="F156" s="123">
        <v>122.85</v>
      </c>
      <c r="G156" s="121" t="s">
        <v>184</v>
      </c>
      <c r="H156" s="121" t="s">
        <v>184</v>
      </c>
      <c r="I156" s="123">
        <f>F156</f>
        <v>122.85</v>
      </c>
      <c r="J156" s="121" t="s">
        <v>184</v>
      </c>
      <c r="K156" s="121" t="s">
        <v>184</v>
      </c>
      <c r="L156" s="122">
        <f t="shared" si="100"/>
        <v>1.2459432048681542</v>
      </c>
      <c r="M156" s="121">
        <v>109.65</v>
      </c>
      <c r="N156" s="121" t="s">
        <v>184</v>
      </c>
      <c r="O156" s="121" t="s">
        <v>184</v>
      </c>
      <c r="P156" s="121">
        <v>122.85</v>
      </c>
      <c r="Q156" s="121" t="s">
        <v>184</v>
      </c>
      <c r="R156" s="121" t="s">
        <v>184</v>
      </c>
      <c r="S156" s="123">
        <f>P156</f>
        <v>122.85</v>
      </c>
      <c r="T156" s="121" t="s">
        <v>184</v>
      </c>
      <c r="U156" s="121" t="s">
        <v>184</v>
      </c>
      <c r="V156" s="18">
        <f t="shared" si="99"/>
        <v>1.2459432048681542</v>
      </c>
    </row>
    <row r="157" spans="1:22" ht="64.5" customHeight="1" x14ac:dyDescent="0.25">
      <c r="A157" s="14"/>
      <c r="B157" s="127" t="s">
        <v>217</v>
      </c>
      <c r="C157" s="126">
        <v>2138.64</v>
      </c>
      <c r="D157" s="119" t="s">
        <v>184</v>
      </c>
      <c r="E157" s="120" t="s">
        <v>184</v>
      </c>
      <c r="F157" s="123">
        <v>2208.06</v>
      </c>
      <c r="G157" s="121" t="s">
        <v>184</v>
      </c>
      <c r="H157" s="121" t="s">
        <v>184</v>
      </c>
      <c r="I157" s="162">
        <f>2227.06+3.5</f>
        <v>2230.56</v>
      </c>
      <c r="J157" s="121" t="s">
        <v>184</v>
      </c>
      <c r="K157" s="121" t="s">
        <v>184</v>
      </c>
      <c r="L157" s="122">
        <f t="shared" si="100"/>
        <v>1.0429805857928403</v>
      </c>
      <c r="M157" s="121">
        <f>2150.16-0.24</f>
        <v>2149.92</v>
      </c>
      <c r="N157" s="121" t="s">
        <v>184</v>
      </c>
      <c r="O157" s="121" t="s">
        <v>184</v>
      </c>
      <c r="P157" s="121">
        <f>2230.56+3</f>
        <v>2233.56</v>
      </c>
      <c r="Q157" s="121" t="s">
        <v>184</v>
      </c>
      <c r="R157" s="121" t="s">
        <v>184</v>
      </c>
      <c r="S157" s="123">
        <f>P157</f>
        <v>2233.56</v>
      </c>
      <c r="T157" s="121" t="s">
        <v>184</v>
      </c>
      <c r="U157" s="121" t="s">
        <v>184</v>
      </c>
      <c r="V157" s="18">
        <f t="shared" si="99"/>
        <v>1.0443833464257659</v>
      </c>
    </row>
    <row r="158" spans="1:22" ht="60.75" customHeight="1" x14ac:dyDescent="0.25">
      <c r="A158" s="14"/>
      <c r="B158" s="127" t="s">
        <v>218</v>
      </c>
      <c r="C158" s="126">
        <v>7</v>
      </c>
      <c r="D158" s="119" t="s">
        <v>184</v>
      </c>
      <c r="E158" s="120" t="s">
        <v>184</v>
      </c>
      <c r="F158" s="123">
        <v>10</v>
      </c>
      <c r="G158" s="121" t="s">
        <v>184</v>
      </c>
      <c r="H158" s="121" t="s">
        <v>184</v>
      </c>
      <c r="I158" s="162">
        <f>F158</f>
        <v>10</v>
      </c>
      <c r="J158" s="121" t="s">
        <v>184</v>
      </c>
      <c r="K158" s="121" t="s">
        <v>184</v>
      </c>
      <c r="L158" s="122">
        <f t="shared" si="100"/>
        <v>1.4285714285714286</v>
      </c>
      <c r="M158" s="121">
        <v>7</v>
      </c>
      <c r="N158" s="121" t="s">
        <v>184</v>
      </c>
      <c r="O158" s="121" t="s">
        <v>184</v>
      </c>
      <c r="P158" s="121">
        <v>10</v>
      </c>
      <c r="Q158" s="121" t="s">
        <v>184</v>
      </c>
      <c r="R158" s="121" t="s">
        <v>184</v>
      </c>
      <c r="S158" s="123">
        <f>P158</f>
        <v>10</v>
      </c>
      <c r="T158" s="121" t="s">
        <v>184</v>
      </c>
      <c r="U158" s="121" t="s">
        <v>184</v>
      </c>
      <c r="V158" s="18">
        <f t="shared" si="99"/>
        <v>1.4285714285714286</v>
      </c>
    </row>
    <row r="159" spans="1:22" s="157" customFormat="1" ht="21" customHeight="1" x14ac:dyDescent="0.25">
      <c r="A159" s="14"/>
      <c r="B159" s="130" t="s">
        <v>214</v>
      </c>
      <c r="C159" s="118">
        <f>C155+C156+C157+C158</f>
        <v>2329.69</v>
      </c>
      <c r="D159" s="119" t="s">
        <v>184</v>
      </c>
      <c r="E159" s="119" t="s">
        <v>184</v>
      </c>
      <c r="F159" s="118">
        <f>F155+F156+F157+F158</f>
        <v>2448.86</v>
      </c>
      <c r="G159" s="119" t="s">
        <v>184</v>
      </c>
      <c r="H159" s="119" t="s">
        <v>184</v>
      </c>
      <c r="I159" s="163">
        <f>I155+I156+I157+I158</f>
        <v>2464.36</v>
      </c>
      <c r="J159" s="121" t="s">
        <v>184</v>
      </c>
      <c r="K159" s="121" t="s">
        <v>184</v>
      </c>
      <c r="L159" s="122">
        <f t="shared" si="100"/>
        <v>1.0578059741854067</v>
      </c>
      <c r="M159" s="121">
        <f>M155+M156+M157+M158</f>
        <v>2353.0700000000002</v>
      </c>
      <c r="N159" s="121" t="s">
        <v>184</v>
      </c>
      <c r="O159" s="121" t="s">
        <v>184</v>
      </c>
      <c r="P159" s="121">
        <f>P158+P157+P156+P155</f>
        <v>2467.3599999999997</v>
      </c>
      <c r="Q159" s="121" t="s">
        <v>184</v>
      </c>
      <c r="R159" s="121" t="s">
        <v>184</v>
      </c>
      <c r="S159" s="129">
        <f>P159</f>
        <v>2467.3599999999997</v>
      </c>
      <c r="T159" s="121" t="s">
        <v>184</v>
      </c>
      <c r="U159" s="121" t="s">
        <v>184</v>
      </c>
      <c r="V159" s="50">
        <f t="shared" si="99"/>
        <v>1.0590936991616908</v>
      </c>
    </row>
    <row r="160" spans="1:22" ht="23.25" customHeight="1" x14ac:dyDescent="0.25">
      <c r="A160" s="14" t="s">
        <v>193</v>
      </c>
      <c r="B160" s="130" t="s">
        <v>194</v>
      </c>
      <c r="C160" s="126">
        <f>C161+C163+C164+C162</f>
        <v>56</v>
      </c>
      <c r="D160" s="119" t="s">
        <v>184</v>
      </c>
      <c r="E160" s="120" t="s">
        <v>184</v>
      </c>
      <c r="F160" s="131">
        <f>F161+F163+F164+F162</f>
        <v>57</v>
      </c>
      <c r="G160" s="121" t="s">
        <v>184</v>
      </c>
      <c r="H160" s="121" t="s">
        <v>184</v>
      </c>
      <c r="I160" s="131">
        <f>I161+I163+I164+I162</f>
        <v>57</v>
      </c>
      <c r="J160" s="121" t="s">
        <v>184</v>
      </c>
      <c r="K160" s="121" t="s">
        <v>184</v>
      </c>
      <c r="L160" s="122">
        <f t="shared" si="100"/>
        <v>1.0178571428571428</v>
      </c>
      <c r="M160" s="131">
        <f>M161+M162+M163+M164</f>
        <v>57</v>
      </c>
      <c r="N160" s="121" t="s">
        <v>184</v>
      </c>
      <c r="O160" s="121" t="s">
        <v>184</v>
      </c>
      <c r="P160" s="121">
        <f>P161+P162+P163+P164</f>
        <v>57</v>
      </c>
      <c r="Q160" s="121" t="s">
        <v>184</v>
      </c>
      <c r="R160" s="121" t="s">
        <v>184</v>
      </c>
      <c r="S160" s="131">
        <f>I160</f>
        <v>57</v>
      </c>
      <c r="T160" s="121" t="s">
        <v>184</v>
      </c>
      <c r="U160" s="121" t="s">
        <v>184</v>
      </c>
      <c r="V160" s="18">
        <f t="shared" si="99"/>
        <v>1.0178571428571428</v>
      </c>
    </row>
    <row r="161" spans="1:22" x14ac:dyDescent="0.25">
      <c r="A161" s="14"/>
      <c r="B161" s="130" t="s">
        <v>195</v>
      </c>
      <c r="C161" s="126">
        <v>6</v>
      </c>
      <c r="D161" s="119" t="s">
        <v>184</v>
      </c>
      <c r="E161" s="120" t="s">
        <v>184</v>
      </c>
      <c r="F161" s="128">
        <v>7</v>
      </c>
      <c r="G161" s="121" t="s">
        <v>184</v>
      </c>
      <c r="H161" s="121" t="s">
        <v>184</v>
      </c>
      <c r="I161" s="162">
        <f>F161</f>
        <v>7</v>
      </c>
      <c r="J161" s="121" t="s">
        <v>184</v>
      </c>
      <c r="K161" s="121" t="s">
        <v>184</v>
      </c>
      <c r="L161" s="122">
        <f t="shared" si="100"/>
        <v>1.1666666666666667</v>
      </c>
      <c r="M161" s="123">
        <v>7</v>
      </c>
      <c r="N161" s="121" t="s">
        <v>184</v>
      </c>
      <c r="O161" s="121" t="s">
        <v>184</v>
      </c>
      <c r="P161" s="121">
        <v>7</v>
      </c>
      <c r="Q161" s="121" t="s">
        <v>184</v>
      </c>
      <c r="R161" s="121" t="s">
        <v>184</v>
      </c>
      <c r="S161" s="129">
        <f>I161</f>
        <v>7</v>
      </c>
      <c r="T161" s="121" t="s">
        <v>184</v>
      </c>
      <c r="U161" s="121" t="s">
        <v>184</v>
      </c>
      <c r="V161" s="18">
        <f t="shared" si="99"/>
        <v>1.1666666666666667</v>
      </c>
    </row>
    <row r="162" spans="1:22" x14ac:dyDescent="0.25">
      <c r="A162" s="14"/>
      <c r="B162" s="130" t="s">
        <v>196</v>
      </c>
      <c r="C162" s="126">
        <v>4</v>
      </c>
      <c r="D162" s="119" t="s">
        <v>184</v>
      </c>
      <c r="E162" s="120" t="s">
        <v>184</v>
      </c>
      <c r="F162" s="128">
        <v>4</v>
      </c>
      <c r="G162" s="121" t="s">
        <v>184</v>
      </c>
      <c r="H162" s="121" t="s">
        <v>184</v>
      </c>
      <c r="I162" s="162">
        <f>F162</f>
        <v>4</v>
      </c>
      <c r="J162" s="121" t="s">
        <v>184</v>
      </c>
      <c r="K162" s="121" t="s">
        <v>184</v>
      </c>
      <c r="L162" s="122">
        <f t="shared" si="100"/>
        <v>1</v>
      </c>
      <c r="M162" s="123">
        <v>4</v>
      </c>
      <c r="N162" s="121" t="s">
        <v>184</v>
      </c>
      <c r="O162" s="121" t="s">
        <v>184</v>
      </c>
      <c r="P162" s="121">
        <v>4</v>
      </c>
      <c r="Q162" s="121" t="s">
        <v>184</v>
      </c>
      <c r="R162" s="121" t="s">
        <v>184</v>
      </c>
      <c r="S162" s="129">
        <f t="shared" ref="S162:S164" si="101">I162</f>
        <v>4</v>
      </c>
      <c r="T162" s="121" t="s">
        <v>184</v>
      </c>
      <c r="U162" s="121" t="s">
        <v>184</v>
      </c>
      <c r="V162" s="18">
        <f t="shared" si="99"/>
        <v>1</v>
      </c>
    </row>
    <row r="163" spans="1:22" x14ac:dyDescent="0.25">
      <c r="A163" s="14"/>
      <c r="B163" s="130" t="s">
        <v>197</v>
      </c>
      <c r="C163" s="126">
        <v>45</v>
      </c>
      <c r="D163" s="119" t="s">
        <v>184</v>
      </c>
      <c r="E163" s="120" t="s">
        <v>184</v>
      </c>
      <c r="F163" s="128">
        <v>45</v>
      </c>
      <c r="G163" s="121" t="s">
        <v>184</v>
      </c>
      <c r="H163" s="121" t="s">
        <v>184</v>
      </c>
      <c r="I163" s="162">
        <f>F163</f>
        <v>45</v>
      </c>
      <c r="J163" s="121" t="s">
        <v>184</v>
      </c>
      <c r="K163" s="121" t="s">
        <v>184</v>
      </c>
      <c r="L163" s="122">
        <f t="shared" si="100"/>
        <v>1</v>
      </c>
      <c r="M163" s="123">
        <v>45</v>
      </c>
      <c r="N163" s="121" t="s">
        <v>184</v>
      </c>
      <c r="O163" s="121" t="s">
        <v>184</v>
      </c>
      <c r="P163" s="121">
        <v>45</v>
      </c>
      <c r="Q163" s="121" t="s">
        <v>184</v>
      </c>
      <c r="R163" s="121" t="s">
        <v>184</v>
      </c>
      <c r="S163" s="129">
        <f t="shared" si="101"/>
        <v>45</v>
      </c>
      <c r="T163" s="121" t="s">
        <v>184</v>
      </c>
      <c r="U163" s="121" t="s">
        <v>184</v>
      </c>
      <c r="V163" s="18">
        <f t="shared" si="99"/>
        <v>1</v>
      </c>
    </row>
    <row r="164" spans="1:22" x14ac:dyDescent="0.25">
      <c r="A164" s="14"/>
      <c r="B164" s="87" t="s">
        <v>198</v>
      </c>
      <c r="C164" s="126">
        <v>1</v>
      </c>
      <c r="D164" s="119" t="s">
        <v>184</v>
      </c>
      <c r="E164" s="120" t="s">
        <v>184</v>
      </c>
      <c r="F164" s="128">
        <v>1</v>
      </c>
      <c r="G164" s="121" t="s">
        <v>184</v>
      </c>
      <c r="H164" s="121" t="s">
        <v>184</v>
      </c>
      <c r="I164" s="162">
        <f>F164</f>
        <v>1</v>
      </c>
      <c r="J164" s="121" t="s">
        <v>184</v>
      </c>
      <c r="K164" s="121" t="s">
        <v>184</v>
      </c>
      <c r="L164" s="122">
        <f t="shared" si="100"/>
        <v>1</v>
      </c>
      <c r="M164" s="129">
        <v>1</v>
      </c>
      <c r="N164" s="121" t="s">
        <v>184</v>
      </c>
      <c r="O164" s="121" t="s">
        <v>184</v>
      </c>
      <c r="P164" s="121">
        <v>1</v>
      </c>
      <c r="Q164" s="121" t="s">
        <v>184</v>
      </c>
      <c r="R164" s="121" t="s">
        <v>184</v>
      </c>
      <c r="S164" s="129">
        <f t="shared" si="101"/>
        <v>1</v>
      </c>
      <c r="T164" s="121" t="s">
        <v>184</v>
      </c>
      <c r="U164" s="121" t="s">
        <v>184</v>
      </c>
      <c r="V164" s="18">
        <f t="shared" si="99"/>
        <v>1</v>
      </c>
    </row>
    <row r="165" spans="1:22" ht="25.5" x14ac:dyDescent="0.25">
      <c r="A165" s="14" t="s">
        <v>199</v>
      </c>
      <c r="B165" s="31" t="s">
        <v>200</v>
      </c>
      <c r="C165" s="113">
        <f>C55+C56+C69+C89+C90</f>
        <v>1602533.5637999999</v>
      </c>
      <c r="D165" s="113">
        <f t="shared" ref="D165:T165" si="102">D55+D56+D69+D89+D90</f>
        <v>1004939.40455</v>
      </c>
      <c r="E165" s="132">
        <f t="shared" si="102"/>
        <v>597594.15924999991</v>
      </c>
      <c r="F165" s="113">
        <f t="shared" si="102"/>
        <v>1736107.0977</v>
      </c>
      <c r="G165" s="113">
        <f t="shared" si="102"/>
        <v>1099406.6976999999</v>
      </c>
      <c r="H165" s="132">
        <f t="shared" si="102"/>
        <v>636700.4</v>
      </c>
      <c r="I165" s="113">
        <f t="shared" si="102"/>
        <v>1877606.4061100001</v>
      </c>
      <c r="J165" s="113">
        <f t="shared" si="102"/>
        <v>1204087.3077</v>
      </c>
      <c r="K165" s="132">
        <f t="shared" si="102"/>
        <v>673519.09841000009</v>
      </c>
      <c r="L165" s="50">
        <f>K165/E165</f>
        <v>1.1270510060795915</v>
      </c>
      <c r="M165" s="113">
        <f t="shared" si="102"/>
        <v>1851870.29568</v>
      </c>
      <c r="N165" s="113">
        <f t="shared" si="102"/>
        <v>1194005.2068999999</v>
      </c>
      <c r="O165" s="132">
        <f t="shared" si="102"/>
        <v>657865.08877999987</v>
      </c>
      <c r="P165" s="113">
        <f t="shared" si="102"/>
        <v>1965551.0116000001</v>
      </c>
      <c r="Q165" s="113">
        <f t="shared" si="102"/>
        <v>1284646.9415</v>
      </c>
      <c r="R165" s="132">
        <f t="shared" si="102"/>
        <v>680904.0700999999</v>
      </c>
      <c r="S165" s="113">
        <f t="shared" si="102"/>
        <v>20010.5</v>
      </c>
      <c r="T165" s="113">
        <f t="shared" si="102"/>
        <v>12268.3</v>
      </c>
      <c r="U165" s="132">
        <f>U55+U56+U69+U89+U90</f>
        <v>7742.2000000000007</v>
      </c>
      <c r="V165" s="50">
        <f>U165/E165</f>
        <v>1.2955615245163563E-2</v>
      </c>
    </row>
    <row r="166" spans="1:22" ht="25.5" x14ac:dyDescent="0.25">
      <c r="A166" s="14" t="s">
        <v>201</v>
      </c>
      <c r="B166" s="31" t="s">
        <v>202</v>
      </c>
      <c r="C166" s="113">
        <f>C59+C76+C93</f>
        <v>159951.94009000002</v>
      </c>
      <c r="D166" s="113">
        <f t="shared" ref="D166:U166" si="103">D59+D76+D93</f>
        <v>585.20132000000001</v>
      </c>
      <c r="E166" s="132">
        <f t="shared" si="103"/>
        <v>159366.73877000003</v>
      </c>
      <c r="F166" s="113">
        <f t="shared" si="103"/>
        <v>171106.15100000001</v>
      </c>
      <c r="G166" s="113">
        <f t="shared" si="103"/>
        <v>197.44499999999999</v>
      </c>
      <c r="H166" s="132">
        <f t="shared" si="103"/>
        <v>170908.70600000001</v>
      </c>
      <c r="I166" s="113">
        <f t="shared" si="103"/>
        <v>224310.03700000001</v>
      </c>
      <c r="J166" s="113">
        <f t="shared" si="103"/>
        <v>604.9</v>
      </c>
      <c r="K166" s="132">
        <f t="shared" si="103"/>
        <v>223705.13700000002</v>
      </c>
      <c r="L166" s="50">
        <f>K166/E166</f>
        <v>1.4037128369857272</v>
      </c>
      <c r="M166" s="113">
        <f t="shared" si="103"/>
        <v>192439.856</v>
      </c>
      <c r="N166" s="113">
        <f t="shared" si="103"/>
        <v>567.20000000000005</v>
      </c>
      <c r="O166" s="132">
        <f t="shared" si="103"/>
        <v>191872.65599999999</v>
      </c>
      <c r="P166" s="113">
        <f t="shared" si="103"/>
        <v>200509.64199999999</v>
      </c>
      <c r="Q166" s="113">
        <f t="shared" si="103"/>
        <v>566.58000000000004</v>
      </c>
      <c r="R166" s="132">
        <f t="shared" si="103"/>
        <v>199943.06200000001</v>
      </c>
      <c r="S166" s="113">
        <f t="shared" si="103"/>
        <v>8632.8000000000011</v>
      </c>
      <c r="T166" s="113">
        <f t="shared" si="103"/>
        <v>115.2</v>
      </c>
      <c r="U166" s="132">
        <f t="shared" si="103"/>
        <v>8517.6</v>
      </c>
      <c r="V166" s="50">
        <f>U166/E166</f>
        <v>5.3446535116042637E-2</v>
      </c>
    </row>
    <row r="167" spans="1:22" s="148" customFormat="1" ht="153.75" customHeight="1" x14ac:dyDescent="0.25">
      <c r="A167" s="133" t="s">
        <v>203</v>
      </c>
      <c r="B167" s="155" t="s">
        <v>206</v>
      </c>
      <c r="C167" s="134">
        <f>D167+E167</f>
        <v>187834.86</v>
      </c>
      <c r="D167" s="134">
        <f>81855+352.7</f>
        <v>82207.7</v>
      </c>
      <c r="E167" s="134">
        <f>95898+9729.16</f>
        <v>105627.16</v>
      </c>
      <c r="F167" s="134">
        <f>G167+H167</f>
        <v>210531</v>
      </c>
      <c r="G167" s="134">
        <f>333+92410</f>
        <v>92743</v>
      </c>
      <c r="H167" s="134">
        <f>9847+107941</f>
        <v>117788</v>
      </c>
      <c r="I167" s="134">
        <f>J167+K167</f>
        <v>217350.08000000002</v>
      </c>
      <c r="J167" s="136">
        <f>95582+146.92</f>
        <v>95728.92</v>
      </c>
      <c r="K167" s="136">
        <f>120317+1304.16</f>
        <v>121621.16</v>
      </c>
      <c r="L167" s="135"/>
      <c r="M167" s="134">
        <f>N167+O167</f>
        <v>217350.08000000002</v>
      </c>
      <c r="N167" s="136">
        <f>95582+146.92</f>
        <v>95728.92</v>
      </c>
      <c r="O167" s="136">
        <f>120317+1304.16</f>
        <v>121621.16</v>
      </c>
      <c r="P167" s="164">
        <f>Q167+R167</f>
        <v>256223.7</v>
      </c>
      <c r="Q167" s="165">
        <f>125241+249.7-20000</f>
        <v>105490.7</v>
      </c>
      <c r="R167" s="165">
        <f>177279+3454-30000</f>
        <v>150733</v>
      </c>
      <c r="S167" s="166" t="s">
        <v>138</v>
      </c>
      <c r="T167" s="166" t="s">
        <v>138</v>
      </c>
      <c r="U167" s="166" t="s">
        <v>138</v>
      </c>
      <c r="V167" s="135"/>
    </row>
    <row r="168" spans="1:22" s="148" customFormat="1" ht="184.5" customHeight="1" x14ac:dyDescent="0.25">
      <c r="A168" s="133" t="s">
        <v>204</v>
      </c>
      <c r="B168" s="156" t="s">
        <v>207</v>
      </c>
      <c r="C168" s="134">
        <f>D168+E168</f>
        <v>686.1</v>
      </c>
      <c r="D168" s="136">
        <f>303+2.8</f>
        <v>305.8</v>
      </c>
      <c r="E168" s="134">
        <f>343+37.3</f>
        <v>380.3</v>
      </c>
      <c r="F168" s="134">
        <f>G168+H168</f>
        <v>759</v>
      </c>
      <c r="G168" s="136">
        <f>305+4</f>
        <v>309</v>
      </c>
      <c r="H168" s="136">
        <f>382+68</f>
        <v>450</v>
      </c>
      <c r="I168" s="134">
        <f>J168+K168</f>
        <v>720.6</v>
      </c>
      <c r="J168" s="136">
        <f>302+1.8</f>
        <v>303.8</v>
      </c>
      <c r="K168" s="136">
        <f>390+26.8</f>
        <v>416.8</v>
      </c>
      <c r="L168" s="137"/>
      <c r="M168" s="134">
        <f>N168+O168</f>
        <v>720.6</v>
      </c>
      <c r="N168" s="136">
        <f>302+1.8</f>
        <v>303.8</v>
      </c>
      <c r="O168" s="136">
        <f>390+26.8</f>
        <v>416.8</v>
      </c>
      <c r="P168" s="165">
        <f>Q168+R168</f>
        <v>740</v>
      </c>
      <c r="Q168" s="165">
        <f>305+3</f>
        <v>308</v>
      </c>
      <c r="R168" s="165">
        <f>395+37</f>
        <v>432</v>
      </c>
      <c r="S168" s="166" t="s">
        <v>138</v>
      </c>
      <c r="T168" s="167" t="s">
        <v>138</v>
      </c>
      <c r="U168" s="166" t="s">
        <v>138</v>
      </c>
      <c r="V168" s="137"/>
    </row>
    <row r="169" spans="1:22" s="148" customFormat="1" x14ac:dyDescent="0.25">
      <c r="B169" s="149"/>
      <c r="C169" s="150"/>
      <c r="D169" s="151"/>
      <c r="E169" s="151"/>
      <c r="F169" s="150"/>
      <c r="G169" s="150"/>
      <c r="H169" s="151"/>
      <c r="I169" s="150"/>
      <c r="J169" s="150"/>
      <c r="K169" s="151"/>
      <c r="L169" s="152"/>
      <c r="M169" s="151"/>
      <c r="N169" s="151"/>
      <c r="O169" s="151"/>
      <c r="P169" s="150"/>
      <c r="Q169" s="150"/>
      <c r="R169" s="151"/>
      <c r="S169" s="150"/>
      <c r="T169" s="150"/>
      <c r="U169" s="151"/>
      <c r="V169" s="152"/>
    </row>
    <row r="170" spans="1:22" s="148" customFormat="1" ht="15.75" x14ac:dyDescent="0.25">
      <c r="B170" s="138" t="s">
        <v>220</v>
      </c>
      <c r="C170" s="139"/>
      <c r="D170" s="139"/>
      <c r="E170" s="140"/>
      <c r="F170" s="141"/>
      <c r="G170" s="141"/>
      <c r="H170" s="141"/>
      <c r="I170" s="142"/>
      <c r="J170" s="142"/>
      <c r="K170" s="142"/>
      <c r="L170" s="143"/>
      <c r="M170" s="144"/>
      <c r="N170" s="144"/>
      <c r="O170" s="144"/>
      <c r="P170" s="144"/>
      <c r="Q170" s="144"/>
      <c r="R170" s="144"/>
      <c r="S170" s="144"/>
      <c r="T170" s="144"/>
      <c r="U170" s="144"/>
      <c r="V170" s="145"/>
    </row>
    <row r="171" spans="1:22" s="148" customFormat="1" ht="15.75" x14ac:dyDescent="0.25">
      <c r="B171" s="138" t="s">
        <v>205</v>
      </c>
      <c r="C171" s="139"/>
      <c r="D171" s="139"/>
      <c r="E171" s="140"/>
      <c r="F171" s="141"/>
      <c r="G171" s="141"/>
      <c r="H171" s="141"/>
      <c r="I171" s="142"/>
      <c r="J171" s="142"/>
      <c r="K171" s="142"/>
      <c r="L171" s="143"/>
      <c r="M171" s="144"/>
      <c r="N171" s="144"/>
      <c r="O171" s="144"/>
      <c r="P171" s="144"/>
      <c r="Q171" s="144"/>
      <c r="R171" s="144"/>
      <c r="S171" s="144"/>
      <c r="T171" s="144"/>
      <c r="U171" s="144"/>
      <c r="V171" s="145"/>
    </row>
    <row r="172" spans="1:22" s="148" customFormat="1" ht="15.75" x14ac:dyDescent="0.25">
      <c r="B172" s="138"/>
      <c r="C172" s="139"/>
      <c r="D172" s="139"/>
      <c r="E172" s="140"/>
      <c r="F172" s="141"/>
      <c r="G172" s="141"/>
      <c r="H172" s="141"/>
      <c r="I172" s="142"/>
      <c r="J172" s="142"/>
      <c r="K172" s="142"/>
      <c r="L172" s="143"/>
      <c r="M172" s="144"/>
      <c r="N172" s="144"/>
      <c r="O172" s="144"/>
      <c r="P172" s="144"/>
      <c r="Q172" s="144"/>
      <c r="R172" s="144"/>
      <c r="S172" s="144"/>
      <c r="T172" s="144"/>
      <c r="U172" s="144"/>
      <c r="V172" s="145"/>
    </row>
    <row r="173" spans="1:22" s="148" customFormat="1" ht="15.75" x14ac:dyDescent="0.25">
      <c r="B173" s="138" t="s">
        <v>223</v>
      </c>
      <c r="C173" s="139"/>
      <c r="D173" s="139"/>
      <c r="E173" s="140"/>
      <c r="F173" s="141"/>
      <c r="G173" s="141"/>
      <c r="H173" s="141"/>
      <c r="I173" s="142"/>
      <c r="J173" s="142"/>
      <c r="K173" s="142"/>
      <c r="L173" s="143"/>
      <c r="M173" s="144"/>
      <c r="N173" s="144"/>
      <c r="O173" s="144"/>
      <c r="P173" s="144"/>
      <c r="Q173" s="144"/>
      <c r="R173" s="144"/>
      <c r="S173" s="144"/>
      <c r="T173" s="144"/>
      <c r="U173" s="144"/>
      <c r="V173" s="145"/>
    </row>
    <row r="174" spans="1:22" s="148" customFormat="1" ht="15.75" x14ac:dyDescent="0.25">
      <c r="B174" s="139"/>
      <c r="C174" s="139"/>
      <c r="D174" s="139"/>
      <c r="E174" s="140"/>
      <c r="F174" s="141"/>
      <c r="G174" s="141"/>
      <c r="H174" s="141"/>
      <c r="I174" s="142"/>
      <c r="J174" s="142"/>
      <c r="K174" s="142"/>
      <c r="L174" s="143"/>
      <c r="M174" s="144"/>
      <c r="N174" s="144"/>
      <c r="O174" s="144"/>
      <c r="P174" s="144"/>
      <c r="Q174" s="144"/>
      <c r="R174" s="144"/>
      <c r="S174" s="144"/>
      <c r="T174" s="144"/>
      <c r="U174" s="144"/>
      <c r="V174" s="145"/>
    </row>
    <row r="175" spans="1:22" s="148" customFormat="1" x14ac:dyDescent="0.25">
      <c r="B175" s="146"/>
      <c r="C175" s="146"/>
      <c r="D175" s="146"/>
      <c r="E175" s="147"/>
      <c r="F175" s="141"/>
      <c r="G175" s="141"/>
      <c r="H175" s="141"/>
      <c r="I175" s="142"/>
      <c r="J175" s="142"/>
      <c r="K175" s="142"/>
      <c r="L175" s="143"/>
      <c r="M175" s="144"/>
      <c r="N175" s="144"/>
      <c r="O175" s="144"/>
      <c r="P175" s="144"/>
      <c r="Q175" s="144"/>
      <c r="R175" s="144"/>
      <c r="S175" s="144"/>
      <c r="T175" s="144"/>
      <c r="U175" s="144"/>
      <c r="V175" s="145"/>
    </row>
    <row r="176" spans="1:22" s="148" customFormat="1" x14ac:dyDescent="0.25"/>
    <row r="177" spans="2:7" s="148" customFormat="1" x14ac:dyDescent="0.25"/>
    <row r="178" spans="2:7" x14ac:dyDescent="0.25">
      <c r="B178" s="148"/>
      <c r="C178" s="148"/>
      <c r="D178" s="148"/>
      <c r="E178" s="148"/>
      <c r="F178" s="148"/>
      <c r="G178" s="148"/>
    </row>
    <row r="179" spans="2:7" x14ac:dyDescent="0.25">
      <c r="B179" s="148"/>
      <c r="C179" s="148"/>
      <c r="D179" s="148"/>
      <c r="E179" s="148"/>
      <c r="F179" s="148"/>
      <c r="G179" s="148"/>
    </row>
    <row r="180" spans="2:7" x14ac:dyDescent="0.25">
      <c r="B180" s="148"/>
      <c r="C180" s="148"/>
      <c r="D180" s="148"/>
      <c r="E180" s="148"/>
      <c r="F180" s="148"/>
      <c r="G180" s="148"/>
    </row>
    <row r="181" spans="2:7" x14ac:dyDescent="0.25">
      <c r="B181" s="148"/>
      <c r="C181" s="148"/>
      <c r="D181" s="148"/>
      <c r="E181" s="148"/>
      <c r="F181" s="148"/>
      <c r="G181" s="148"/>
    </row>
    <row r="182" spans="2:7" x14ac:dyDescent="0.25">
      <c r="B182" s="148"/>
      <c r="C182" s="148"/>
      <c r="D182" s="148"/>
      <c r="E182" s="148"/>
      <c r="F182" s="148"/>
      <c r="G182" s="148"/>
    </row>
    <row r="183" spans="2:7" x14ac:dyDescent="0.25">
      <c r="B183" s="148"/>
      <c r="C183" s="148"/>
      <c r="D183" s="148"/>
      <c r="E183" s="148"/>
      <c r="F183" s="148"/>
      <c r="G183" s="148"/>
    </row>
    <row r="184" spans="2:7" x14ac:dyDescent="0.25">
      <c r="B184" s="148"/>
      <c r="C184" s="148"/>
      <c r="D184" s="148"/>
      <c r="E184" s="148"/>
      <c r="F184" s="148"/>
      <c r="G184" s="148"/>
    </row>
    <row r="185" spans="2:7" x14ac:dyDescent="0.25">
      <c r="B185" s="148"/>
      <c r="C185" s="148"/>
      <c r="D185" s="148"/>
      <c r="E185" s="148"/>
      <c r="F185" s="148"/>
      <c r="G185" s="148"/>
    </row>
    <row r="186" spans="2:7" x14ac:dyDescent="0.25">
      <c r="B186" s="148"/>
      <c r="C186" s="148"/>
      <c r="D186" s="148"/>
      <c r="E186" s="148"/>
      <c r="F186" s="148"/>
      <c r="G186" s="148"/>
    </row>
    <row r="187" spans="2:7" x14ac:dyDescent="0.25">
      <c r="B187" s="148"/>
      <c r="C187" s="148"/>
      <c r="D187" s="148"/>
      <c r="E187" s="148"/>
      <c r="F187" s="148"/>
      <c r="G187" s="148"/>
    </row>
    <row r="188" spans="2:7" x14ac:dyDescent="0.25">
      <c r="B188" s="148"/>
      <c r="C188" s="148"/>
      <c r="D188" s="148"/>
      <c r="E188" s="148"/>
      <c r="F188" s="148"/>
      <c r="G188" s="148"/>
    </row>
    <row r="189" spans="2:7" x14ac:dyDescent="0.25">
      <c r="B189" s="148"/>
      <c r="C189" s="148"/>
      <c r="D189" s="148"/>
      <c r="E189" s="148"/>
      <c r="F189" s="148"/>
      <c r="G189" s="148"/>
    </row>
    <row r="190" spans="2:7" x14ac:dyDescent="0.25">
      <c r="B190" s="148"/>
      <c r="C190" s="148"/>
      <c r="D190" s="148"/>
      <c r="E190" s="148"/>
      <c r="F190" s="148"/>
      <c r="G190" s="148"/>
    </row>
    <row r="191" spans="2:7" x14ac:dyDescent="0.25">
      <c r="B191" s="148"/>
      <c r="C191" s="148"/>
      <c r="D191" s="148"/>
      <c r="E191" s="148"/>
      <c r="F191" s="148"/>
      <c r="G191" s="148"/>
    </row>
    <row r="192" spans="2:7" x14ac:dyDescent="0.25">
      <c r="B192" s="148"/>
      <c r="C192" s="148"/>
      <c r="D192" s="148"/>
      <c r="E192" s="148"/>
      <c r="F192" s="148"/>
      <c r="G192" s="148"/>
    </row>
    <row r="193" spans="2:7" x14ac:dyDescent="0.25">
      <c r="B193" s="148"/>
      <c r="C193" s="148"/>
      <c r="D193" s="148"/>
      <c r="E193" s="148"/>
      <c r="F193" s="148"/>
      <c r="G193" s="148"/>
    </row>
  </sheetData>
  <mergeCells count="25">
    <mergeCell ref="C1:R1"/>
    <mergeCell ref="A2:A5"/>
    <mergeCell ref="B2:B5"/>
    <mergeCell ref="C2:E2"/>
    <mergeCell ref="F2:V2"/>
    <mergeCell ref="C3:E3"/>
    <mergeCell ref="F3:H3"/>
    <mergeCell ref="I3:K3"/>
    <mergeCell ref="V3:V5"/>
    <mergeCell ref="C4:C5"/>
    <mergeCell ref="D4:E4"/>
    <mergeCell ref="P3:R3"/>
    <mergeCell ref="S3:U3"/>
    <mergeCell ref="N4:O4"/>
    <mergeCell ref="P4:P5"/>
    <mergeCell ref="Q4:R4"/>
    <mergeCell ref="S4:S5"/>
    <mergeCell ref="T4:U4"/>
    <mergeCell ref="F4:F5"/>
    <mergeCell ref="G4:H4"/>
    <mergeCell ref="I4:I5"/>
    <mergeCell ref="J4:K4"/>
    <mergeCell ref="M4:M5"/>
    <mergeCell ref="L3:L5"/>
    <mergeCell ref="M3:O3"/>
  </mergeCells>
  <printOptions horizontalCentered="1"/>
  <pageMargins left="0.11811023622047245" right="0" top="0.59055118110236227" bottom="0.59055118110236227" header="0" footer="0"/>
  <pageSetup paperSize="8" scale="59" orientation="landscape" r:id="rId1"/>
  <headerFooter>
    <oddFooter>Страница 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pyankova</cp:lastModifiedBy>
  <cp:lastPrinted>2023-11-17T06:26:47Z</cp:lastPrinted>
  <dcterms:created xsi:type="dcterms:W3CDTF">2020-02-03T08:43:29Z</dcterms:created>
  <dcterms:modified xsi:type="dcterms:W3CDTF">2024-02-26T11:57:14Z</dcterms:modified>
</cp:coreProperties>
</file>