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0" windowWidth="25440" windowHeight="12435" tabRatio="5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Лист1!$A$1:$AB$176</definedName>
  </definedNames>
  <calcPr calcId="145621"/>
</workbook>
</file>

<file path=xl/calcChain.xml><?xml version="1.0" encoding="utf-8"?>
<calcChain xmlns="http://schemas.openxmlformats.org/spreadsheetml/2006/main">
  <c r="U170" i="1" l="1"/>
  <c r="T170" i="1"/>
  <c r="Z151" i="1" l="1"/>
  <c r="Z152" i="1"/>
  <c r="Z139" i="1" l="1"/>
  <c r="Z137" i="1"/>
  <c r="Z143" i="1"/>
  <c r="Y133" i="1"/>
  <c r="Z134" i="1"/>
  <c r="V154" i="1" l="1"/>
  <c r="P61" i="1"/>
  <c r="P60" i="1"/>
  <c r="O61" i="1"/>
  <c r="O60" i="1"/>
  <c r="O59" i="1"/>
  <c r="V59" i="1"/>
  <c r="V57" i="1"/>
  <c r="T61" i="1"/>
  <c r="S61" i="1"/>
  <c r="S60" i="1"/>
  <c r="T59" i="1"/>
  <c r="S59" i="1"/>
  <c r="T60" i="1" l="1"/>
  <c r="U171" i="1" l="1"/>
  <c r="T171" i="1"/>
  <c r="Q171" i="1"/>
  <c r="Q170" i="1"/>
  <c r="P171" i="1"/>
  <c r="P170" i="1"/>
  <c r="Z31" i="1" l="1"/>
  <c r="V139" i="1"/>
  <c r="V137" i="1"/>
  <c r="W139" i="1"/>
  <c r="W134" i="1"/>
  <c r="Y85" i="1"/>
  <c r="S95" i="1"/>
  <c r="S94" i="1"/>
  <c r="S93" i="1"/>
  <c r="O95" i="1"/>
  <c r="P94" i="1"/>
  <c r="O94" i="1"/>
  <c r="O93" i="1"/>
  <c r="P59" i="1"/>
  <c r="T69" i="1" l="1"/>
  <c r="T67" i="1"/>
  <c r="Z46" i="1" l="1"/>
  <c r="Z80" i="1"/>
  <c r="Z94" i="1"/>
  <c r="Z93" i="1"/>
  <c r="Z53" i="1"/>
  <c r="Z56" i="1"/>
  <c r="Z55" i="1"/>
  <c r="Z87" i="1"/>
  <c r="Y91" i="1"/>
  <c r="Y59" i="1"/>
  <c r="Y62" i="1"/>
  <c r="Z99" i="1"/>
  <c r="Y99" i="1"/>
  <c r="Y80" i="1"/>
  <c r="Z49" i="1"/>
  <c r="Y49" i="1"/>
  <c r="Z48" i="1"/>
  <c r="Y48" i="1"/>
  <c r="Y53" i="1"/>
  <c r="Y87" i="1"/>
  <c r="P69" i="1"/>
  <c r="P67" i="1"/>
  <c r="W65" i="1" l="1"/>
  <c r="W137" i="1"/>
  <c r="V83" i="1"/>
  <c r="W57" i="1"/>
  <c r="W61" i="1"/>
  <c r="V61" i="1"/>
  <c r="V60" i="1" l="1"/>
  <c r="V113" i="1" l="1"/>
  <c r="V127" i="1" l="1"/>
  <c r="S125" i="1"/>
  <c r="S124" i="1"/>
  <c r="W44" i="1"/>
  <c r="V87" i="1"/>
  <c r="W87" i="1"/>
  <c r="V53" i="1"/>
  <c r="S53" i="1"/>
  <c r="W53" i="1"/>
  <c r="S78" i="1" l="1"/>
  <c r="S77" i="1"/>
  <c r="S76" i="1"/>
  <c r="O78" i="1" l="1"/>
  <c r="O77" i="1"/>
  <c r="O76" i="1"/>
  <c r="T78" i="1" l="1"/>
  <c r="T77" i="1"/>
  <c r="T74" i="1"/>
  <c r="T70" i="1"/>
  <c r="P78" i="1" l="1"/>
  <c r="P77" i="1"/>
  <c r="P74" i="1"/>
  <c r="P73" i="1"/>
  <c r="P70" i="1"/>
  <c r="S74" i="1" l="1"/>
  <c r="S71" i="1"/>
  <c r="S70" i="1"/>
  <c r="S69" i="1"/>
  <c r="S67" i="1"/>
  <c r="O67" i="1"/>
  <c r="O74" i="1"/>
  <c r="O70" i="1" l="1"/>
  <c r="O69" i="1"/>
  <c r="P152" i="1" l="1"/>
  <c r="O152" i="1"/>
  <c r="S129" i="1" l="1"/>
  <c r="S127" i="1" l="1"/>
  <c r="S130" i="1"/>
  <c r="S128" i="1"/>
  <c r="Y120" i="1"/>
  <c r="C128" i="1"/>
  <c r="S103" i="1"/>
  <c r="S91" i="1"/>
  <c r="S57" i="1" s="1"/>
  <c r="S90" i="1"/>
  <c r="S89" i="1"/>
  <c r="S87" i="1" s="1"/>
  <c r="S84" i="1"/>
  <c r="O103" i="1"/>
  <c r="O84" i="1" s="1"/>
  <c r="O91" i="1"/>
  <c r="O90" i="1"/>
  <c r="O89" i="1"/>
  <c r="O87" i="1" s="1"/>
  <c r="O83" i="1"/>
  <c r="O62" i="1"/>
  <c r="O57" i="1"/>
  <c r="O53" i="1"/>
  <c r="S49" i="1"/>
  <c r="S48" i="1"/>
  <c r="S36" i="1"/>
  <c r="S33" i="1"/>
  <c r="S31" i="1"/>
  <c r="S25" i="1"/>
  <c r="P84" i="1"/>
  <c r="P82" i="1"/>
  <c r="T57" i="1"/>
  <c r="P57" i="1"/>
  <c r="T53" i="1"/>
  <c r="P53" i="1"/>
  <c r="Z103" i="1" l="1"/>
  <c r="Y71" i="1"/>
  <c r="Z71" i="1"/>
  <c r="Y72" i="1"/>
  <c r="Z72" i="1"/>
  <c r="Y73" i="1"/>
  <c r="Z73" i="1"/>
  <c r="Y69" i="1"/>
  <c r="Z69" i="1"/>
  <c r="Y70" i="1"/>
  <c r="Z70" i="1"/>
  <c r="Y74" i="1"/>
  <c r="Z74" i="1"/>
  <c r="Y75" i="1"/>
  <c r="Z75" i="1"/>
  <c r="Y76" i="1"/>
  <c r="Z76" i="1"/>
  <c r="Y77" i="1"/>
  <c r="Z77" i="1"/>
  <c r="Y78" i="1"/>
  <c r="Z78" i="1"/>
  <c r="Z67" i="1"/>
  <c r="Y67" i="1"/>
  <c r="I95" i="1"/>
  <c r="I93" i="1"/>
  <c r="G152" i="1" l="1"/>
  <c r="J152" i="1" s="1"/>
  <c r="I151" i="1"/>
  <c r="J151" i="1"/>
  <c r="G94" i="1"/>
  <c r="J94" i="1" s="1"/>
  <c r="J78" i="1"/>
  <c r="J77" i="1"/>
  <c r="I78" i="1"/>
  <c r="I77" i="1"/>
  <c r="I76" i="1"/>
  <c r="J74" i="1"/>
  <c r="I74" i="1"/>
  <c r="I73" i="1"/>
  <c r="I71" i="1"/>
  <c r="J70" i="1"/>
  <c r="I70" i="1"/>
  <c r="J69" i="1"/>
  <c r="I69" i="1"/>
  <c r="J61" i="1"/>
  <c r="I61" i="1"/>
  <c r="J60" i="1"/>
  <c r="I60" i="1"/>
  <c r="J59" i="1"/>
  <c r="I59" i="1"/>
  <c r="H171" i="1" l="1"/>
  <c r="G171" i="1"/>
  <c r="H170" i="1"/>
  <c r="G170" i="1"/>
  <c r="F124" i="1"/>
  <c r="F125" i="1" s="1"/>
  <c r="I125" i="1" l="1"/>
  <c r="I124" i="1"/>
  <c r="I84" i="1"/>
  <c r="I83" i="1"/>
  <c r="F152" i="1"/>
  <c r="I152" i="1" s="1"/>
  <c r="F144" i="1"/>
  <c r="I144" i="1" s="1"/>
  <c r="G143" i="1"/>
  <c r="J143" i="1" s="1"/>
  <c r="F143" i="1"/>
  <c r="I143" i="1" s="1"/>
  <c r="G142" i="1"/>
  <c r="J142" i="1" s="1"/>
  <c r="F142" i="1"/>
  <c r="I142" i="1" s="1"/>
  <c r="G140" i="1"/>
  <c r="J140" i="1" s="1"/>
  <c r="F140" i="1"/>
  <c r="I140" i="1" s="1"/>
  <c r="G139" i="1"/>
  <c r="J139" i="1" s="1"/>
  <c r="F139" i="1"/>
  <c r="I139" i="1" s="1"/>
  <c r="G137" i="1"/>
  <c r="J137" i="1" s="1"/>
  <c r="F137" i="1"/>
  <c r="I137" i="1" s="1"/>
  <c r="G136" i="1"/>
  <c r="J136" i="1" s="1"/>
  <c r="F136" i="1"/>
  <c r="I136" i="1" s="1"/>
  <c r="G135" i="1"/>
  <c r="J135" i="1" s="1"/>
  <c r="F135" i="1"/>
  <c r="I135" i="1" s="1"/>
  <c r="F134" i="1"/>
  <c r="I134" i="1" s="1"/>
  <c r="G133" i="1"/>
  <c r="J133" i="1" s="1"/>
  <c r="F133" i="1"/>
  <c r="I133" i="1" s="1"/>
  <c r="F128" i="1"/>
  <c r="I128" i="1" s="1"/>
  <c r="F120" i="1"/>
  <c r="I120" i="1" s="1"/>
  <c r="G106" i="1"/>
  <c r="J106" i="1" s="1"/>
  <c r="F106" i="1"/>
  <c r="I106" i="1" s="1"/>
  <c r="F103" i="1"/>
  <c r="I103" i="1" s="1"/>
  <c r="F94" i="1"/>
  <c r="I94" i="1" s="1"/>
  <c r="G91" i="1"/>
  <c r="J91" i="1" s="1"/>
  <c r="F91" i="1"/>
  <c r="I91" i="1" s="1"/>
  <c r="F90" i="1"/>
  <c r="I90" i="1" s="1"/>
  <c r="F89" i="1"/>
  <c r="I89" i="1" s="1"/>
  <c r="F87" i="1"/>
  <c r="I87" i="1" s="1"/>
  <c r="G67" i="1"/>
  <c r="J67" i="1" s="1"/>
  <c r="F67" i="1"/>
  <c r="I67" i="1" s="1"/>
  <c r="G65" i="1"/>
  <c r="J65" i="1" s="1"/>
  <c r="F65" i="1"/>
  <c r="I65" i="1" s="1"/>
  <c r="G62" i="1"/>
  <c r="J62" i="1" s="1"/>
  <c r="F62" i="1"/>
  <c r="I62" i="1" s="1"/>
  <c r="G57" i="1"/>
  <c r="J57" i="1" s="1"/>
  <c r="F57" i="1"/>
  <c r="I57" i="1" s="1"/>
  <c r="G56" i="1"/>
  <c r="J56" i="1" s="1"/>
  <c r="F56" i="1"/>
  <c r="I56" i="1" s="1"/>
  <c r="G55" i="1"/>
  <c r="J55" i="1" s="1"/>
  <c r="F55" i="1"/>
  <c r="I55" i="1" s="1"/>
  <c r="G53" i="1"/>
  <c r="J53" i="1" s="1"/>
  <c r="F53" i="1"/>
  <c r="I53" i="1" s="1"/>
  <c r="G49" i="1"/>
  <c r="J49" i="1" s="1"/>
  <c r="F49" i="1"/>
  <c r="I49" i="1" s="1"/>
  <c r="G48" i="1"/>
  <c r="J48" i="1"/>
  <c r="F48" i="1"/>
  <c r="I48" i="1"/>
  <c r="F46" i="1"/>
  <c r="I46" i="1" s="1"/>
  <c r="F45" i="1"/>
  <c r="I45" i="1" s="1"/>
  <c r="F44" i="1"/>
  <c r="I44" i="1"/>
  <c r="F43" i="1"/>
  <c r="I43" i="1" s="1"/>
  <c r="F36" i="1"/>
  <c r="I36" i="1" s="1"/>
  <c r="F33" i="1"/>
  <c r="I33" i="1" s="1"/>
  <c r="F32" i="1"/>
  <c r="I32" i="1" s="1"/>
  <c r="G31" i="1"/>
  <c r="J31" i="1" s="1"/>
  <c r="F31" i="1"/>
  <c r="I31" i="1" s="1"/>
  <c r="F30" i="1"/>
  <c r="I30" i="1" s="1"/>
  <c r="F27" i="1"/>
  <c r="I27" i="1" s="1"/>
  <c r="F25" i="1"/>
  <c r="I25" i="1" s="1"/>
  <c r="F19" i="1"/>
  <c r="I19" i="1" s="1"/>
  <c r="F18" i="1"/>
  <c r="I18" i="1" s="1"/>
  <c r="F17" i="1"/>
  <c r="I17" i="1" s="1"/>
  <c r="F16" i="1"/>
  <c r="I16" i="1" s="1"/>
  <c r="F14" i="1"/>
  <c r="I14" i="1"/>
  <c r="F13" i="1"/>
  <c r="I13" i="1" s="1"/>
  <c r="F11" i="1"/>
  <c r="I11" i="1" s="1"/>
  <c r="F10" i="1"/>
  <c r="I10" i="1" s="1"/>
  <c r="V130" i="1" l="1"/>
  <c r="V129" i="1"/>
  <c r="Y39" i="1" l="1"/>
  <c r="Q106" i="1" l="1"/>
  <c r="U106" i="1"/>
  <c r="T43" i="1"/>
  <c r="T44" i="1"/>
  <c r="T46" i="1"/>
  <c r="I41" i="1" l="1"/>
  <c r="I40" i="1"/>
  <c r="I138" i="1"/>
  <c r="F171" i="1"/>
  <c r="F170" i="1"/>
  <c r="G134" i="1" l="1"/>
  <c r="J134" i="1" s="1"/>
  <c r="G63" i="1"/>
  <c r="J63" i="1"/>
  <c r="F63" i="1"/>
  <c r="I63" i="1" s="1"/>
  <c r="G33" i="1"/>
  <c r="J33" i="1"/>
  <c r="O159" i="1" l="1"/>
  <c r="Y127" i="1" l="1"/>
  <c r="V99" i="1" l="1"/>
  <c r="W80" i="1"/>
  <c r="V80" i="1"/>
  <c r="AA171" i="1"/>
  <c r="AA170" i="1"/>
  <c r="Z171" i="1"/>
  <c r="Z170" i="1"/>
  <c r="Y160" i="1"/>
  <c r="Y159" i="1"/>
  <c r="Y158" i="1"/>
  <c r="Y157" i="1"/>
  <c r="S171" i="1"/>
  <c r="S170" i="1"/>
  <c r="Y129" i="1"/>
  <c r="V153" i="1"/>
  <c r="S153" i="1"/>
  <c r="Y118" i="1"/>
  <c r="Y128" i="1" s="1"/>
  <c r="V118" i="1"/>
  <c r="V128" i="1" s="1"/>
  <c r="S118" i="1"/>
  <c r="S99" i="1"/>
  <c r="S80" i="1"/>
  <c r="Z47" i="1"/>
  <c r="Z45" i="1"/>
  <c r="Z44" i="1"/>
  <c r="Z43" i="1"/>
  <c r="W46" i="1"/>
  <c r="W45" i="1"/>
  <c r="W43" i="1"/>
  <c r="T45" i="1"/>
  <c r="O171" i="1"/>
  <c r="Y171" i="1" s="1"/>
  <c r="O170" i="1"/>
  <c r="Y170" i="1" s="1"/>
  <c r="L171" i="1"/>
  <c r="L170" i="1"/>
  <c r="O166" i="1"/>
  <c r="S166" i="1" s="1"/>
  <c r="O165" i="1"/>
  <c r="S165" i="1" s="1"/>
  <c r="O164" i="1"/>
  <c r="S164" i="1" s="1"/>
  <c r="O163" i="1"/>
  <c r="S163" i="1" s="1"/>
  <c r="L159" i="1"/>
  <c r="M152" i="1"/>
  <c r="L152" i="1"/>
  <c r="M140" i="1"/>
  <c r="M142" i="1"/>
  <c r="M134" i="1"/>
  <c r="O118" i="1"/>
  <c r="L118" i="1"/>
  <c r="O116" i="1"/>
  <c r="O113" i="1"/>
  <c r="M62" i="1"/>
  <c r="L62" i="1"/>
  <c r="O99" i="1"/>
  <c r="M99" i="1"/>
  <c r="L99" i="1"/>
  <c r="P80" i="1"/>
  <c r="M80" i="1"/>
  <c r="L80" i="1"/>
  <c r="O46" i="1"/>
  <c r="P46" i="1" s="1"/>
  <c r="O45" i="1"/>
  <c r="P45" i="1" s="1"/>
  <c r="O44" i="1"/>
  <c r="P44" i="1" s="1"/>
  <c r="O43" i="1"/>
  <c r="P43" i="1" s="1"/>
  <c r="O41" i="1"/>
  <c r="O40" i="1"/>
  <c r="M44" i="1"/>
  <c r="M45" i="1"/>
  <c r="M46" i="1"/>
  <c r="M43" i="1"/>
  <c r="O27" i="1"/>
  <c r="O30" i="1"/>
  <c r="O31" i="1"/>
  <c r="O32" i="1"/>
  <c r="O33" i="1"/>
  <c r="O35" i="1"/>
  <c r="O36" i="1"/>
  <c r="L25" i="1"/>
  <c r="O25" i="1" s="1"/>
  <c r="O16" i="1"/>
  <c r="O17" i="1"/>
  <c r="O18" i="1"/>
  <c r="O19" i="1"/>
  <c r="O13" i="1"/>
  <c r="O11" i="1"/>
  <c r="O10" i="1"/>
  <c r="C171" i="1"/>
  <c r="C170" i="1"/>
  <c r="I154" i="1"/>
  <c r="I153" i="1" s="1"/>
  <c r="F153" i="1"/>
  <c r="C153" i="1"/>
  <c r="I145" i="1"/>
  <c r="J144" i="1"/>
  <c r="J138" i="1"/>
  <c r="I127" i="1"/>
  <c r="C127" i="1"/>
  <c r="C124" i="1"/>
  <c r="C125" i="1" s="1"/>
  <c r="I118" i="1"/>
  <c r="C118" i="1"/>
  <c r="I99" i="1"/>
  <c r="F99" i="1"/>
  <c r="C103" i="1"/>
  <c r="C99" i="1" s="1"/>
  <c r="D99" i="1"/>
  <c r="C95" i="1"/>
  <c r="D94" i="1"/>
  <c r="C94" i="1"/>
  <c r="C93" i="1"/>
  <c r="C59" i="1" s="1"/>
  <c r="C91" i="1"/>
  <c r="C90" i="1"/>
  <c r="C89" i="1"/>
  <c r="C87" i="1"/>
  <c r="I82" i="1"/>
  <c r="I79" i="1"/>
  <c r="G80" i="1"/>
  <c r="F80" i="1"/>
  <c r="D84" i="1"/>
  <c r="C84" i="1"/>
  <c r="C83" i="1"/>
  <c r="C82" i="1"/>
  <c r="D80" i="1"/>
  <c r="C74" i="1"/>
  <c r="C71" i="1"/>
  <c r="C70" i="1"/>
  <c r="C69" i="1"/>
  <c r="C67" i="1"/>
  <c r="C63" i="1"/>
  <c r="C62" i="1"/>
  <c r="C61" i="1"/>
  <c r="C60" i="1"/>
  <c r="D57" i="1"/>
  <c r="C57" i="1"/>
  <c r="C56" i="1"/>
  <c r="C55" i="1"/>
  <c r="C53" i="1" s="1"/>
  <c r="D53" i="1"/>
  <c r="J46" i="1"/>
  <c r="J45" i="1"/>
  <c r="J44" i="1"/>
  <c r="J43" i="1"/>
  <c r="G47" i="1"/>
  <c r="G46" i="1"/>
  <c r="G45" i="1"/>
  <c r="G44" i="1"/>
  <c r="G43" i="1"/>
  <c r="D49" i="1"/>
  <c r="D44" i="1"/>
  <c r="D45" i="1"/>
  <c r="D46" i="1"/>
  <c r="D47" i="1"/>
  <c r="D43" i="1"/>
  <c r="C39" i="1"/>
  <c r="I29" i="1"/>
  <c r="I28" i="1"/>
  <c r="C28" i="1"/>
  <c r="C27" i="1"/>
  <c r="C25" i="1"/>
  <c r="I20" i="1"/>
  <c r="F20" i="1"/>
  <c r="Y164" i="1" l="1"/>
  <c r="Y163" i="1"/>
  <c r="Y166" i="1"/>
  <c r="Y165" i="1"/>
  <c r="O80" i="1"/>
  <c r="I80" i="1"/>
  <c r="F118" i="1"/>
  <c r="C80" i="1"/>
  <c r="R157" i="1"/>
  <c r="AB157" i="1"/>
  <c r="Z169" i="1" l="1"/>
  <c r="Y169" i="1"/>
  <c r="W169" i="1"/>
  <c r="V169" i="1"/>
  <c r="T169" i="1"/>
  <c r="S169" i="1"/>
  <c r="P169" i="1"/>
  <c r="O169" i="1"/>
  <c r="M169" i="1"/>
  <c r="L169" i="1"/>
  <c r="J169" i="1"/>
  <c r="I169" i="1"/>
  <c r="G169" i="1"/>
  <c r="F169" i="1"/>
  <c r="D169" i="1"/>
  <c r="C169" i="1"/>
  <c r="V161" i="1" l="1"/>
  <c r="S161" i="1"/>
  <c r="I161" i="1"/>
  <c r="F161" i="1"/>
  <c r="C86" i="1" l="1"/>
  <c r="C66" i="1" l="1"/>
  <c r="O86" i="1"/>
  <c r="Y161" i="1" l="1"/>
  <c r="O161" i="1"/>
  <c r="L161" i="1"/>
  <c r="C161" i="1"/>
  <c r="AB161" i="1" l="1"/>
  <c r="R161" i="1"/>
  <c r="C123" i="1"/>
  <c r="AA20" i="1" l="1"/>
  <c r="AA19" i="1"/>
  <c r="X19" i="1"/>
  <c r="X18" i="1"/>
  <c r="U19" i="1"/>
  <c r="Q19" i="1"/>
  <c r="N19" i="1"/>
  <c r="K19" i="1"/>
  <c r="H19" i="1"/>
  <c r="E19" i="1"/>
  <c r="Z168" i="1"/>
  <c r="Y168" i="1"/>
  <c r="W168" i="1"/>
  <c r="V168" i="1"/>
  <c r="T168" i="1"/>
  <c r="S168" i="1"/>
  <c r="P168" i="1"/>
  <c r="O168" i="1"/>
  <c r="M168" i="1"/>
  <c r="L168" i="1"/>
  <c r="J168" i="1"/>
  <c r="I168" i="1"/>
  <c r="G168" i="1"/>
  <c r="F168" i="1"/>
  <c r="D168" i="1"/>
  <c r="C168" i="1"/>
  <c r="Z167" i="1"/>
  <c r="Y167" i="1"/>
  <c r="W167" i="1"/>
  <c r="V167" i="1"/>
  <c r="T167" i="1"/>
  <c r="S167" i="1"/>
  <c r="P167" i="1"/>
  <c r="O167" i="1"/>
  <c r="M167" i="1"/>
  <c r="L167" i="1"/>
  <c r="J167" i="1"/>
  <c r="I167" i="1"/>
  <c r="G167" i="1"/>
  <c r="F167" i="1"/>
  <c r="D167" i="1"/>
  <c r="C167" i="1"/>
  <c r="AB166" i="1"/>
  <c r="R166" i="1"/>
  <c r="AB165" i="1"/>
  <c r="R165" i="1"/>
  <c r="AB164" i="1"/>
  <c r="R164" i="1"/>
  <c r="AB163" i="1"/>
  <c r="R163" i="1"/>
  <c r="Y162" i="1"/>
  <c r="S162" i="1"/>
  <c r="O162" i="1"/>
  <c r="L162" i="1"/>
  <c r="C162" i="1"/>
  <c r="AB160" i="1"/>
  <c r="R160" i="1"/>
  <c r="AB159" i="1"/>
  <c r="R159" i="1"/>
  <c r="AB158" i="1"/>
  <c r="R158" i="1"/>
  <c r="AB156" i="1"/>
  <c r="AA152" i="1"/>
  <c r="X152" i="1"/>
  <c r="U152" i="1"/>
  <c r="Q152" i="1"/>
  <c r="N152" i="1"/>
  <c r="K152" i="1"/>
  <c r="H152" i="1"/>
  <c r="E152" i="1"/>
  <c r="AA151" i="1"/>
  <c r="X151" i="1"/>
  <c r="U151" i="1"/>
  <c r="Q151" i="1"/>
  <c r="N151" i="1"/>
  <c r="K151" i="1"/>
  <c r="H151" i="1"/>
  <c r="E151" i="1"/>
  <c r="Z147" i="1"/>
  <c r="Y147" i="1"/>
  <c r="W147" i="1"/>
  <c r="V147" i="1"/>
  <c r="T147" i="1"/>
  <c r="S147" i="1"/>
  <c r="P147" i="1"/>
  <c r="O147" i="1"/>
  <c r="M147" i="1"/>
  <c r="L147" i="1"/>
  <c r="J147" i="1"/>
  <c r="I147" i="1"/>
  <c r="G147" i="1"/>
  <c r="F147" i="1"/>
  <c r="D147" i="1"/>
  <c r="C147" i="1"/>
  <c r="AA146" i="1"/>
  <c r="X146" i="1"/>
  <c r="U146" i="1"/>
  <c r="Q146" i="1"/>
  <c r="N146" i="1"/>
  <c r="K146" i="1"/>
  <c r="H146" i="1"/>
  <c r="E146" i="1"/>
  <c r="AA145" i="1"/>
  <c r="X145" i="1"/>
  <c r="U145" i="1"/>
  <c r="Q145" i="1"/>
  <c r="N145" i="1"/>
  <c r="K145" i="1"/>
  <c r="H145" i="1"/>
  <c r="E145" i="1"/>
  <c r="AA144" i="1"/>
  <c r="X144" i="1"/>
  <c r="U144" i="1"/>
  <c r="Q144" i="1"/>
  <c r="N144" i="1"/>
  <c r="K144" i="1"/>
  <c r="H144" i="1"/>
  <c r="E144" i="1"/>
  <c r="AA143" i="1"/>
  <c r="X143" i="1"/>
  <c r="U143" i="1"/>
  <c r="Q143" i="1"/>
  <c r="N143" i="1"/>
  <c r="K143" i="1"/>
  <c r="H143" i="1"/>
  <c r="E143" i="1"/>
  <c r="AA142" i="1"/>
  <c r="X142" i="1"/>
  <c r="U142" i="1"/>
  <c r="Q142" i="1"/>
  <c r="N142" i="1"/>
  <c r="K142" i="1"/>
  <c r="H142" i="1"/>
  <c r="E142" i="1"/>
  <c r="AA141" i="1"/>
  <c r="X141" i="1"/>
  <c r="U141" i="1"/>
  <c r="Q141" i="1"/>
  <c r="N141" i="1"/>
  <c r="K141" i="1"/>
  <c r="H141" i="1"/>
  <c r="E141" i="1"/>
  <c r="AA140" i="1"/>
  <c r="X140" i="1"/>
  <c r="U140" i="1"/>
  <c r="Q140" i="1"/>
  <c r="N140" i="1"/>
  <c r="K140" i="1"/>
  <c r="H140" i="1"/>
  <c r="E140" i="1"/>
  <c r="AA139" i="1"/>
  <c r="X139" i="1"/>
  <c r="U139" i="1"/>
  <c r="Q139" i="1"/>
  <c r="N139" i="1"/>
  <c r="K139" i="1"/>
  <c r="H139" i="1"/>
  <c r="E139" i="1"/>
  <c r="AA138" i="1"/>
  <c r="X138" i="1"/>
  <c r="U138" i="1"/>
  <c r="Q138" i="1"/>
  <c r="N138" i="1"/>
  <c r="K138" i="1"/>
  <c r="H138" i="1"/>
  <c r="E138" i="1"/>
  <c r="AA137" i="1"/>
  <c r="X137" i="1"/>
  <c r="U137" i="1"/>
  <c r="Q137" i="1"/>
  <c r="N137" i="1"/>
  <c r="K137" i="1"/>
  <c r="H137" i="1"/>
  <c r="E137" i="1"/>
  <c r="AA136" i="1"/>
  <c r="X136" i="1"/>
  <c r="U136" i="1"/>
  <c r="Q136" i="1"/>
  <c r="N136" i="1"/>
  <c r="K136" i="1"/>
  <c r="H136" i="1"/>
  <c r="E136" i="1"/>
  <c r="AA135" i="1"/>
  <c r="X135" i="1"/>
  <c r="U135" i="1"/>
  <c r="Q135" i="1"/>
  <c r="N135" i="1"/>
  <c r="K135" i="1"/>
  <c r="H135" i="1"/>
  <c r="E135" i="1"/>
  <c r="AA134" i="1"/>
  <c r="X134" i="1"/>
  <c r="U134" i="1"/>
  <c r="Q134" i="1"/>
  <c r="N134" i="1"/>
  <c r="K134" i="1"/>
  <c r="H134" i="1"/>
  <c r="E134" i="1"/>
  <c r="AA133" i="1"/>
  <c r="X133" i="1"/>
  <c r="U133" i="1"/>
  <c r="Q133" i="1"/>
  <c r="N133" i="1"/>
  <c r="K133" i="1"/>
  <c r="H133" i="1"/>
  <c r="E133" i="1"/>
  <c r="Z132" i="1"/>
  <c r="Y132" i="1"/>
  <c r="W132" i="1"/>
  <c r="V132" i="1"/>
  <c r="T132" i="1"/>
  <c r="S132" i="1"/>
  <c r="P132" i="1"/>
  <c r="O132" i="1"/>
  <c r="M132" i="1"/>
  <c r="L132" i="1"/>
  <c r="J132" i="1"/>
  <c r="I132" i="1"/>
  <c r="G132" i="1"/>
  <c r="F132" i="1"/>
  <c r="D132" i="1"/>
  <c r="C132" i="1"/>
  <c r="AB131" i="1"/>
  <c r="S123" i="1"/>
  <c r="I123" i="1"/>
  <c r="F123" i="1"/>
  <c r="Y115" i="1"/>
  <c r="Y155" i="1" s="1"/>
  <c r="V115" i="1"/>
  <c r="S115" i="1"/>
  <c r="O115" i="1"/>
  <c r="L115" i="1"/>
  <c r="I115" i="1"/>
  <c r="F115" i="1"/>
  <c r="C115" i="1"/>
  <c r="Y110" i="1"/>
  <c r="Y154" i="1" s="1"/>
  <c r="AB154" i="1" s="1"/>
  <c r="V110" i="1"/>
  <c r="S110" i="1"/>
  <c r="O110" i="1"/>
  <c r="L110" i="1"/>
  <c r="I110" i="1"/>
  <c r="F110" i="1"/>
  <c r="C110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1" i="1"/>
  <c r="X101" i="1"/>
  <c r="U101" i="1"/>
  <c r="Q101" i="1"/>
  <c r="N101" i="1"/>
  <c r="K101" i="1"/>
  <c r="H101" i="1"/>
  <c r="E101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3" i="1"/>
  <c r="X93" i="1"/>
  <c r="U93" i="1"/>
  <c r="Q93" i="1"/>
  <c r="N93" i="1"/>
  <c r="K93" i="1"/>
  <c r="H93" i="1"/>
  <c r="E93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9" i="1"/>
  <c r="X89" i="1"/>
  <c r="U89" i="1"/>
  <c r="Q89" i="1"/>
  <c r="N89" i="1"/>
  <c r="K89" i="1"/>
  <c r="H89" i="1"/>
  <c r="E89" i="1"/>
  <c r="AA87" i="1"/>
  <c r="X87" i="1"/>
  <c r="U87" i="1"/>
  <c r="Q87" i="1"/>
  <c r="N87" i="1"/>
  <c r="K87" i="1"/>
  <c r="H87" i="1"/>
  <c r="E87" i="1"/>
  <c r="Z86" i="1"/>
  <c r="Y86" i="1"/>
  <c r="W86" i="1"/>
  <c r="V86" i="1"/>
  <c r="T86" i="1"/>
  <c r="S86" i="1"/>
  <c r="P86" i="1"/>
  <c r="M86" i="1"/>
  <c r="L86" i="1"/>
  <c r="J86" i="1"/>
  <c r="I86" i="1"/>
  <c r="G86" i="1"/>
  <c r="F86" i="1"/>
  <c r="D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2" i="1"/>
  <c r="X82" i="1"/>
  <c r="U82" i="1"/>
  <c r="Q82" i="1"/>
  <c r="N82" i="1"/>
  <c r="K82" i="1"/>
  <c r="H82" i="1"/>
  <c r="E82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6" i="1"/>
  <c r="X76" i="1"/>
  <c r="U76" i="1"/>
  <c r="Q76" i="1"/>
  <c r="N76" i="1"/>
  <c r="K76" i="1"/>
  <c r="H76" i="1"/>
  <c r="E76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9" i="1"/>
  <c r="X69" i="1"/>
  <c r="U69" i="1"/>
  <c r="Q69" i="1"/>
  <c r="N69" i="1"/>
  <c r="K69" i="1"/>
  <c r="H69" i="1"/>
  <c r="E69" i="1"/>
  <c r="AA67" i="1"/>
  <c r="X67" i="1"/>
  <c r="U67" i="1"/>
  <c r="Q67" i="1"/>
  <c r="N67" i="1"/>
  <c r="K67" i="1"/>
  <c r="H67" i="1"/>
  <c r="E67" i="1"/>
  <c r="Z66" i="1"/>
  <c r="Y66" i="1"/>
  <c r="W66" i="1"/>
  <c r="V66" i="1"/>
  <c r="T66" i="1"/>
  <c r="S66" i="1"/>
  <c r="P66" i="1"/>
  <c r="O66" i="1"/>
  <c r="M66" i="1"/>
  <c r="L66" i="1"/>
  <c r="J66" i="1"/>
  <c r="I66" i="1"/>
  <c r="G66" i="1"/>
  <c r="F66" i="1"/>
  <c r="D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E64" i="1"/>
  <c r="AA63" i="1"/>
  <c r="X63" i="1"/>
  <c r="X169" i="1" s="1"/>
  <c r="U63" i="1"/>
  <c r="U169" i="1" s="1"/>
  <c r="Q63" i="1"/>
  <c r="N63" i="1"/>
  <c r="K63" i="1"/>
  <c r="K169" i="1" s="1"/>
  <c r="H63" i="1"/>
  <c r="H169" i="1" s="1"/>
  <c r="E63" i="1"/>
  <c r="E169" i="1" s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9" i="1"/>
  <c r="X59" i="1"/>
  <c r="U59" i="1"/>
  <c r="Q59" i="1"/>
  <c r="N59" i="1"/>
  <c r="K59" i="1"/>
  <c r="H59" i="1"/>
  <c r="E59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5" i="1"/>
  <c r="X55" i="1"/>
  <c r="U55" i="1"/>
  <c r="Q55" i="1"/>
  <c r="N55" i="1"/>
  <c r="K55" i="1"/>
  <c r="H55" i="1"/>
  <c r="E55" i="1"/>
  <c r="AA53" i="1"/>
  <c r="X53" i="1"/>
  <c r="U53" i="1"/>
  <c r="Q53" i="1"/>
  <c r="N53" i="1"/>
  <c r="K53" i="1"/>
  <c r="H53" i="1"/>
  <c r="E53" i="1"/>
  <c r="Z52" i="1"/>
  <c r="Y52" i="1"/>
  <c r="W52" i="1"/>
  <c r="V52" i="1"/>
  <c r="T52" i="1"/>
  <c r="S52" i="1"/>
  <c r="P52" i="1"/>
  <c r="O52" i="1"/>
  <c r="O51" i="1" s="1"/>
  <c r="O104" i="1" s="1"/>
  <c r="M52" i="1"/>
  <c r="L52" i="1"/>
  <c r="J52" i="1"/>
  <c r="I52" i="1"/>
  <c r="G52" i="1"/>
  <c r="F52" i="1"/>
  <c r="D52" i="1"/>
  <c r="D51" i="1" s="1"/>
  <c r="D104" i="1" s="1"/>
  <c r="C52" i="1"/>
  <c r="C51" i="1" s="1"/>
  <c r="C104" i="1" s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X40" i="1"/>
  <c r="U40" i="1"/>
  <c r="Q40" i="1"/>
  <c r="N40" i="1"/>
  <c r="K40" i="1"/>
  <c r="H40" i="1"/>
  <c r="E40" i="1"/>
  <c r="AA39" i="1"/>
  <c r="V39" i="1"/>
  <c r="X39" i="1" s="1"/>
  <c r="S39" i="1"/>
  <c r="U39" i="1" s="1"/>
  <c r="O39" i="1"/>
  <c r="Q39" i="1" s="1"/>
  <c r="L39" i="1"/>
  <c r="N39" i="1" s="1"/>
  <c r="I39" i="1"/>
  <c r="K39" i="1" s="1"/>
  <c r="F39" i="1"/>
  <c r="H39" i="1" s="1"/>
  <c r="E39" i="1"/>
  <c r="Z38" i="1"/>
  <c r="Z37" i="1" s="1"/>
  <c r="W38" i="1"/>
  <c r="W37" i="1" s="1"/>
  <c r="T38" i="1"/>
  <c r="T37" i="1" s="1"/>
  <c r="P38" i="1"/>
  <c r="P37" i="1" s="1"/>
  <c r="M38" i="1"/>
  <c r="M37" i="1" s="1"/>
  <c r="J38" i="1"/>
  <c r="J37" i="1" s="1"/>
  <c r="G38" i="1"/>
  <c r="G37" i="1" s="1"/>
  <c r="D38" i="1"/>
  <c r="D37" i="1" s="1"/>
  <c r="C38" i="1"/>
  <c r="AA36" i="1"/>
  <c r="X36" i="1"/>
  <c r="U36" i="1"/>
  <c r="Q36" i="1"/>
  <c r="N36" i="1"/>
  <c r="K36" i="1"/>
  <c r="H36" i="1"/>
  <c r="E36" i="1"/>
  <c r="AA35" i="1"/>
  <c r="X35" i="1"/>
  <c r="U35" i="1"/>
  <c r="Q35" i="1"/>
  <c r="N35" i="1"/>
  <c r="K35" i="1"/>
  <c r="H35" i="1"/>
  <c r="E35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AA23" i="1"/>
  <c r="X23" i="1"/>
  <c r="U23" i="1"/>
  <c r="Q23" i="1"/>
  <c r="N23" i="1"/>
  <c r="K23" i="1"/>
  <c r="H23" i="1"/>
  <c r="E23" i="1"/>
  <c r="Z21" i="1"/>
  <c r="Z7" i="1" s="1"/>
  <c r="Y21" i="1"/>
  <c r="W21" i="1"/>
  <c r="W7" i="1" s="1"/>
  <c r="V21" i="1"/>
  <c r="T21" i="1"/>
  <c r="T7" i="1" s="1"/>
  <c r="S21" i="1"/>
  <c r="P21" i="1"/>
  <c r="O21" i="1"/>
  <c r="M21" i="1"/>
  <c r="L21" i="1"/>
  <c r="J21" i="1"/>
  <c r="J7" i="1" s="1"/>
  <c r="I21" i="1"/>
  <c r="G21" i="1"/>
  <c r="G7" i="1" s="1"/>
  <c r="F21" i="1"/>
  <c r="D21" i="1"/>
  <c r="D7" i="1" s="1"/>
  <c r="C21" i="1"/>
  <c r="X20" i="1"/>
  <c r="U20" i="1"/>
  <c r="Q20" i="1"/>
  <c r="N20" i="1"/>
  <c r="K20" i="1"/>
  <c r="H20" i="1"/>
  <c r="E20" i="1"/>
  <c r="AA18" i="1"/>
  <c r="U18" i="1"/>
  <c r="Q18" i="1"/>
  <c r="N18" i="1"/>
  <c r="K18" i="1"/>
  <c r="H18" i="1"/>
  <c r="E18" i="1"/>
  <c r="AA17" i="1"/>
  <c r="X17" i="1"/>
  <c r="U17" i="1"/>
  <c r="Q17" i="1"/>
  <c r="N17" i="1"/>
  <c r="K17" i="1"/>
  <c r="H17" i="1"/>
  <c r="E17" i="1"/>
  <c r="AA16" i="1"/>
  <c r="X16" i="1"/>
  <c r="U16" i="1"/>
  <c r="Q16" i="1"/>
  <c r="N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Y8" i="1" s="1"/>
  <c r="AA8" i="1" s="1"/>
  <c r="W12" i="1"/>
  <c r="V12" i="1"/>
  <c r="T12" i="1"/>
  <c r="S12" i="1"/>
  <c r="S8" i="1" s="1"/>
  <c r="U8" i="1" s="1"/>
  <c r="P12" i="1"/>
  <c r="O12" i="1"/>
  <c r="M12" i="1"/>
  <c r="L12" i="1"/>
  <c r="J12" i="1"/>
  <c r="I12" i="1"/>
  <c r="G12" i="1"/>
  <c r="F12" i="1"/>
  <c r="D12" i="1"/>
  <c r="C12" i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P7" i="1"/>
  <c r="M7" i="1"/>
  <c r="M51" i="1" l="1"/>
  <c r="M104" i="1" s="1"/>
  <c r="S51" i="1"/>
  <c r="S104" i="1" s="1"/>
  <c r="AB18" i="1"/>
  <c r="Y153" i="1"/>
  <c r="AB153" i="1" s="1"/>
  <c r="F38" i="1"/>
  <c r="H38" i="1" s="1"/>
  <c r="AB155" i="1"/>
  <c r="U147" i="1"/>
  <c r="Y51" i="1"/>
  <c r="Y104" i="1" s="1"/>
  <c r="Y148" i="1" s="1"/>
  <c r="H147" i="1"/>
  <c r="K147" i="1"/>
  <c r="X147" i="1"/>
  <c r="V51" i="1"/>
  <c r="V104" i="1" s="1"/>
  <c r="V148" i="1" s="1"/>
  <c r="AA169" i="1"/>
  <c r="AB169" i="1" s="1"/>
  <c r="Z51" i="1"/>
  <c r="Z104" i="1" s="1"/>
  <c r="Z148" i="1" s="1"/>
  <c r="T51" i="1"/>
  <c r="T104" i="1" s="1"/>
  <c r="T148" i="1" s="1"/>
  <c r="Z6" i="1"/>
  <c r="Z50" i="1" s="1"/>
  <c r="T6" i="1"/>
  <c r="T50" i="1" s="1"/>
  <c r="L51" i="1"/>
  <c r="L104" i="1" s="1"/>
  <c r="Q169" i="1"/>
  <c r="R169" i="1" s="1"/>
  <c r="N169" i="1"/>
  <c r="P6" i="1"/>
  <c r="P50" i="1" s="1"/>
  <c r="O38" i="1"/>
  <c r="Q38" i="1" s="1"/>
  <c r="F51" i="1"/>
  <c r="F104" i="1" s="1"/>
  <c r="F148" i="1" s="1"/>
  <c r="M6" i="1"/>
  <c r="M50" i="1" s="1"/>
  <c r="G51" i="1"/>
  <c r="G104" i="1" s="1"/>
  <c r="G148" i="1" s="1"/>
  <c r="E12" i="1"/>
  <c r="K12" i="1"/>
  <c r="Q12" i="1"/>
  <c r="X12" i="1"/>
  <c r="N21" i="1"/>
  <c r="AA21" i="1"/>
  <c r="P51" i="1"/>
  <c r="P104" i="1" s="1"/>
  <c r="P148" i="1" s="1"/>
  <c r="W51" i="1"/>
  <c r="W104" i="1" s="1"/>
  <c r="W148" i="1" s="1"/>
  <c r="D148" i="1"/>
  <c r="J51" i="1"/>
  <c r="J104" i="1" s="1"/>
  <c r="J148" i="1" s="1"/>
  <c r="I51" i="1"/>
  <c r="I104" i="1" s="1"/>
  <c r="I148" i="1" s="1"/>
  <c r="AB40" i="1"/>
  <c r="D6" i="1"/>
  <c r="D50" i="1" s="1"/>
  <c r="D105" i="1" s="1"/>
  <c r="E38" i="1"/>
  <c r="AB47" i="1"/>
  <c r="AB48" i="1"/>
  <c r="H21" i="1"/>
  <c r="C8" i="1"/>
  <c r="E8" i="1" s="1"/>
  <c r="AB8" i="1" s="1"/>
  <c r="I38" i="1"/>
  <c r="AB142" i="1"/>
  <c r="R142" i="1"/>
  <c r="W6" i="1"/>
  <c r="W50" i="1" s="1"/>
  <c r="G6" i="1"/>
  <c r="G50" i="1" s="1"/>
  <c r="I8" i="1"/>
  <c r="E21" i="1"/>
  <c r="K21" i="1"/>
  <c r="Q21" i="1"/>
  <c r="R21" i="1" s="1"/>
  <c r="X21" i="1"/>
  <c r="R40" i="1"/>
  <c r="R48" i="1"/>
  <c r="E167" i="1"/>
  <c r="J6" i="1"/>
  <c r="J50" i="1" s="1"/>
  <c r="L38" i="1"/>
  <c r="H167" i="1"/>
  <c r="K167" i="1"/>
  <c r="X167" i="1"/>
  <c r="K168" i="1"/>
  <c r="X168" i="1"/>
  <c r="AB42" i="1"/>
  <c r="AB43" i="1"/>
  <c r="AB44" i="1"/>
  <c r="AB46" i="1"/>
  <c r="R14" i="1"/>
  <c r="N167" i="1"/>
  <c r="N168" i="1"/>
  <c r="Q167" i="1"/>
  <c r="R167" i="1" s="1"/>
  <c r="E168" i="1"/>
  <c r="Q168" i="1"/>
  <c r="AA167" i="1"/>
  <c r="AB167" i="1" s="1"/>
  <c r="AA168" i="1"/>
  <c r="U167" i="1"/>
  <c r="H168" i="1"/>
  <c r="U168" i="1"/>
  <c r="R144" i="1"/>
  <c r="AB143" i="1"/>
  <c r="AB144" i="1"/>
  <c r="AB134" i="1"/>
  <c r="AB135" i="1"/>
  <c r="AB136" i="1"/>
  <c r="AB137" i="1"/>
  <c r="AB138" i="1"/>
  <c r="AB139" i="1"/>
  <c r="AB140" i="1"/>
  <c r="R42" i="1"/>
  <c r="R44" i="1"/>
  <c r="R45" i="1"/>
  <c r="R46" i="1"/>
  <c r="AB10" i="1"/>
  <c r="AB13" i="1"/>
  <c r="AB14" i="1"/>
  <c r="AB15" i="1"/>
  <c r="AB16" i="1"/>
  <c r="AB17" i="1"/>
  <c r="AB20" i="1"/>
  <c r="R20" i="1"/>
  <c r="R24" i="1"/>
  <c r="R26" i="1"/>
  <c r="R29" i="1"/>
  <c r="R30" i="1"/>
  <c r="R31" i="1"/>
  <c r="R32" i="1"/>
  <c r="R33" i="1"/>
  <c r="R35" i="1"/>
  <c r="R36" i="1"/>
  <c r="C37" i="1"/>
  <c r="E37" i="1" s="1"/>
  <c r="H132" i="1"/>
  <c r="N132" i="1"/>
  <c r="U132" i="1"/>
  <c r="AA132" i="1"/>
  <c r="AB145" i="1"/>
  <c r="AB146" i="1"/>
  <c r="R41" i="1"/>
  <c r="R143" i="1"/>
  <c r="R13" i="1"/>
  <c r="R17" i="1"/>
  <c r="R18" i="1"/>
  <c r="N147" i="1"/>
  <c r="AA147" i="1"/>
  <c r="AB19" i="1"/>
  <c r="R49" i="1"/>
  <c r="R10" i="1"/>
  <c r="R15" i="1"/>
  <c r="R16" i="1"/>
  <c r="R43" i="1"/>
  <c r="R47" i="1"/>
  <c r="Y7" i="1"/>
  <c r="AA7" i="1" s="1"/>
  <c r="O8" i="1"/>
  <c r="U21" i="1"/>
  <c r="S7" i="1"/>
  <c r="U7" i="1" s="1"/>
  <c r="O37" i="1"/>
  <c r="Q37" i="1" s="1"/>
  <c r="R37" i="1" s="1"/>
  <c r="V38" i="1"/>
  <c r="V37" i="1" s="1"/>
  <c r="X37" i="1" s="1"/>
  <c r="AB41" i="1"/>
  <c r="AB45" i="1"/>
  <c r="AB49" i="1"/>
  <c r="H12" i="1"/>
  <c r="N12" i="1"/>
  <c r="U12" i="1"/>
  <c r="AA12" i="1"/>
  <c r="AB12" i="1" s="1"/>
  <c r="AB23" i="1"/>
  <c r="AB24" i="1"/>
  <c r="AB26" i="1"/>
  <c r="AB29" i="1"/>
  <c r="AB30" i="1"/>
  <c r="AB31" i="1"/>
  <c r="AB32" i="1"/>
  <c r="AB33" i="1"/>
  <c r="AB35" i="1"/>
  <c r="AB36" i="1"/>
  <c r="M148" i="1"/>
  <c r="AB53" i="1"/>
  <c r="AB56" i="1"/>
  <c r="AB57" i="1"/>
  <c r="AB60" i="1"/>
  <c r="AB61" i="1"/>
  <c r="AB62" i="1"/>
  <c r="AB63" i="1"/>
  <c r="AB64" i="1"/>
  <c r="AB65" i="1"/>
  <c r="AB67" i="1"/>
  <c r="AB69" i="1"/>
  <c r="AB70" i="1"/>
  <c r="AB71" i="1"/>
  <c r="AB72" i="1"/>
  <c r="AB73" i="1"/>
  <c r="AB74" i="1"/>
  <c r="AB76" i="1"/>
  <c r="AB77" i="1"/>
  <c r="AB78" i="1"/>
  <c r="AB79" i="1"/>
  <c r="AB80" i="1"/>
  <c r="AB82" i="1"/>
  <c r="AB83" i="1"/>
  <c r="AB84" i="1"/>
  <c r="AB85" i="1"/>
  <c r="AB87" i="1"/>
  <c r="AB89" i="1"/>
  <c r="AB90" i="1"/>
  <c r="AB94" i="1"/>
  <c r="AB95" i="1"/>
  <c r="AB96" i="1"/>
  <c r="AB97" i="1"/>
  <c r="AB98" i="1"/>
  <c r="AB99" i="1"/>
  <c r="AB101" i="1"/>
  <c r="AB102" i="1"/>
  <c r="AB103" i="1"/>
  <c r="E132" i="1"/>
  <c r="K132" i="1"/>
  <c r="Q132" i="1"/>
  <c r="X132" i="1"/>
  <c r="E147" i="1"/>
  <c r="Q147" i="1"/>
  <c r="R134" i="1"/>
  <c r="R135" i="1"/>
  <c r="R136" i="1"/>
  <c r="R137" i="1"/>
  <c r="R138" i="1"/>
  <c r="R139" i="1"/>
  <c r="R140" i="1"/>
  <c r="AB141" i="1"/>
  <c r="R141" i="1"/>
  <c r="R23" i="1"/>
  <c r="R39" i="1"/>
  <c r="F8" i="1"/>
  <c r="L8" i="1"/>
  <c r="V8" i="1"/>
  <c r="E52" i="1"/>
  <c r="AB39" i="1"/>
  <c r="R151" i="1"/>
  <c r="R152" i="1"/>
  <c r="R162" i="1"/>
  <c r="AB162" i="1"/>
  <c r="H52" i="1"/>
  <c r="K52" i="1"/>
  <c r="N52" i="1"/>
  <c r="Q52" i="1"/>
  <c r="U52" i="1"/>
  <c r="X52" i="1"/>
  <c r="AA52" i="1"/>
  <c r="R53" i="1"/>
  <c r="R56" i="1"/>
  <c r="R57" i="1"/>
  <c r="R60" i="1"/>
  <c r="R61" i="1"/>
  <c r="R62" i="1"/>
  <c r="R63" i="1"/>
  <c r="R64" i="1"/>
  <c r="R65" i="1"/>
  <c r="E66" i="1"/>
  <c r="H66" i="1"/>
  <c r="K66" i="1"/>
  <c r="N66" i="1"/>
  <c r="Q66" i="1"/>
  <c r="R66" i="1" s="1"/>
  <c r="U66" i="1"/>
  <c r="X66" i="1"/>
  <c r="AA66" i="1"/>
  <c r="R67" i="1"/>
  <c r="R69" i="1"/>
  <c r="R70" i="1"/>
  <c r="R71" i="1"/>
  <c r="R72" i="1"/>
  <c r="R73" i="1"/>
  <c r="R74" i="1"/>
  <c r="R76" i="1"/>
  <c r="R77" i="1"/>
  <c r="R78" i="1"/>
  <c r="R79" i="1"/>
  <c r="R80" i="1"/>
  <c r="R82" i="1"/>
  <c r="R83" i="1"/>
  <c r="R84" i="1"/>
  <c r="R85" i="1"/>
  <c r="E86" i="1"/>
  <c r="H86" i="1"/>
  <c r="K86" i="1"/>
  <c r="N86" i="1"/>
  <c r="Q86" i="1"/>
  <c r="R86" i="1" s="1"/>
  <c r="U86" i="1"/>
  <c r="X86" i="1"/>
  <c r="AA86" i="1"/>
  <c r="R87" i="1"/>
  <c r="R89" i="1"/>
  <c r="R90" i="1"/>
  <c r="R91" i="1"/>
  <c r="R96" i="1"/>
  <c r="R97" i="1"/>
  <c r="R98" i="1"/>
  <c r="R99" i="1"/>
  <c r="R101" i="1"/>
  <c r="R102" i="1"/>
  <c r="R103" i="1"/>
  <c r="R133" i="1"/>
  <c r="AB133" i="1"/>
  <c r="AB151" i="1"/>
  <c r="AB152" i="1"/>
  <c r="R19" i="1"/>
  <c r="R38" i="1"/>
  <c r="C148" i="1"/>
  <c r="E104" i="1"/>
  <c r="E51" i="1"/>
  <c r="O148" i="1"/>
  <c r="S38" i="1"/>
  <c r="Y38" i="1"/>
  <c r="S148" i="1"/>
  <c r="U104" i="1"/>
  <c r="U148" i="1" s="1"/>
  <c r="R55" i="1"/>
  <c r="AB55" i="1"/>
  <c r="R59" i="1"/>
  <c r="AB59" i="1"/>
  <c r="R94" i="1"/>
  <c r="R95" i="1"/>
  <c r="AB91" i="1"/>
  <c r="R145" i="1"/>
  <c r="R146" i="1"/>
  <c r="C7" i="1" l="1"/>
  <c r="E7" i="1" s="1"/>
  <c r="AB7" i="1" s="1"/>
  <c r="G105" i="1"/>
  <c r="R12" i="1"/>
  <c r="M105" i="1"/>
  <c r="AB132" i="1"/>
  <c r="R147" i="1"/>
  <c r="F37" i="1"/>
  <c r="H37" i="1" s="1"/>
  <c r="N104" i="1"/>
  <c r="U51" i="1"/>
  <c r="H104" i="1"/>
  <c r="H148" i="1" s="1"/>
  <c r="H51" i="1"/>
  <c r="W105" i="1"/>
  <c r="V124" i="1" s="1"/>
  <c r="Q104" i="1"/>
  <c r="R104" i="1" s="1"/>
  <c r="AB21" i="1"/>
  <c r="J105" i="1"/>
  <c r="K104" i="1"/>
  <c r="K148" i="1" s="1"/>
  <c r="K51" i="1"/>
  <c r="X104" i="1"/>
  <c r="X148" i="1" s="1"/>
  <c r="X51" i="1"/>
  <c r="AA104" i="1"/>
  <c r="AB104" i="1" s="1"/>
  <c r="AA51" i="1"/>
  <c r="AB51" i="1" s="1"/>
  <c r="X38" i="1"/>
  <c r="Z105" i="1"/>
  <c r="Y124" i="1" s="1"/>
  <c r="T105" i="1"/>
  <c r="N148" i="1"/>
  <c r="N51" i="1"/>
  <c r="L148" i="1"/>
  <c r="Q51" i="1"/>
  <c r="R51" i="1" s="1"/>
  <c r="P105" i="1"/>
  <c r="R52" i="1"/>
  <c r="R132" i="1"/>
  <c r="AB52" i="1"/>
  <c r="R168" i="1"/>
  <c r="AB168" i="1"/>
  <c r="K8" i="1"/>
  <c r="I7" i="1"/>
  <c r="N38" i="1"/>
  <c r="L37" i="1"/>
  <c r="N37" i="1" s="1"/>
  <c r="K38" i="1"/>
  <c r="I37" i="1"/>
  <c r="K37" i="1" s="1"/>
  <c r="E148" i="1"/>
  <c r="AB147" i="1"/>
  <c r="AB86" i="1"/>
  <c r="AB66" i="1"/>
  <c r="Q8" i="1"/>
  <c r="R8" i="1" s="1"/>
  <c r="O7" i="1"/>
  <c r="X8" i="1"/>
  <c r="V7" i="1"/>
  <c r="H8" i="1"/>
  <c r="F7" i="1"/>
  <c r="N8" i="1"/>
  <c r="L7" i="1"/>
  <c r="AA38" i="1"/>
  <c r="AB38" i="1" s="1"/>
  <c r="Y37" i="1"/>
  <c r="Q148" i="1"/>
  <c r="U38" i="1"/>
  <c r="S37" i="1"/>
  <c r="C6" i="1" l="1"/>
  <c r="C50" i="1" s="1"/>
  <c r="C105" i="1" s="1"/>
  <c r="AA148" i="1"/>
  <c r="E6" i="1"/>
  <c r="E50" i="1" s="1"/>
  <c r="E105" i="1" s="1"/>
  <c r="I6" i="1"/>
  <c r="K7" i="1"/>
  <c r="Q7" i="1"/>
  <c r="R7" i="1" s="1"/>
  <c r="O6" i="1"/>
  <c r="H7" i="1"/>
  <c r="F6" i="1"/>
  <c r="X7" i="1"/>
  <c r="V6" i="1"/>
  <c r="N7" i="1"/>
  <c r="L6" i="1"/>
  <c r="AA37" i="1"/>
  <c r="AB37" i="1" s="1"/>
  <c r="Y6" i="1"/>
  <c r="U37" i="1"/>
  <c r="S6" i="1"/>
  <c r="C109" i="1" l="1"/>
  <c r="C107" i="1" s="1"/>
  <c r="I50" i="1"/>
  <c r="K6" i="1"/>
  <c r="K50" i="1" s="1"/>
  <c r="O50" i="1"/>
  <c r="Q6" i="1"/>
  <c r="L50" i="1"/>
  <c r="N6" i="1"/>
  <c r="N50" i="1" s="1"/>
  <c r="N105" i="1" s="1"/>
  <c r="V50" i="1"/>
  <c r="X6" i="1"/>
  <c r="X50" i="1" s="1"/>
  <c r="H6" i="1"/>
  <c r="H50" i="1" s="1"/>
  <c r="H105" i="1" s="1"/>
  <c r="F50" i="1"/>
  <c r="S50" i="1"/>
  <c r="U6" i="1"/>
  <c r="U50" i="1" s="1"/>
  <c r="Y50" i="1"/>
  <c r="AA6" i="1"/>
  <c r="I105" i="1" l="1"/>
  <c r="K105" i="1" s="1"/>
  <c r="I109" i="1"/>
  <c r="I107" i="1" s="1"/>
  <c r="R6" i="1"/>
  <c r="Q50" i="1"/>
  <c r="O105" i="1"/>
  <c r="O109" i="1"/>
  <c r="O107" i="1" s="1"/>
  <c r="V105" i="1"/>
  <c r="X105" i="1" s="1"/>
  <c r="V125" i="1" s="1"/>
  <c r="V109" i="1"/>
  <c r="V107" i="1" s="1"/>
  <c r="F105" i="1"/>
  <c r="F109" i="1"/>
  <c r="F107" i="1" s="1"/>
  <c r="L105" i="1"/>
  <c r="L109" i="1"/>
  <c r="L107" i="1" s="1"/>
  <c r="Y105" i="1"/>
  <c r="AA105" i="1" s="1"/>
  <c r="Y109" i="1"/>
  <c r="Y107" i="1" s="1"/>
  <c r="AA50" i="1"/>
  <c r="AB50" i="1" s="1"/>
  <c r="AB6" i="1"/>
  <c r="S105" i="1"/>
  <c r="U105" i="1" s="1"/>
  <c r="S109" i="1"/>
  <c r="S107" i="1" s="1"/>
  <c r="Y125" i="1" l="1"/>
  <c r="Y123" i="1" s="1"/>
  <c r="V123" i="1"/>
  <c r="R50" i="1"/>
  <c r="Q105" i="1"/>
</calcChain>
</file>

<file path=xl/sharedStrings.xml><?xml version="1.0" encoding="utf-8"?>
<sst xmlns="http://schemas.openxmlformats.org/spreadsheetml/2006/main" count="935" uniqueCount="231">
  <si>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</si>
  <si>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</si>
  <si>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</si>
  <si>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</si>
  <si>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</si>
  <si>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</si>
  <si>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</si>
  <si>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</si>
  <si>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</si>
  <si>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</si>
  <si>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</si>
  <si>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</si>
  <si>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</si>
  <si>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</si>
  <si>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</si>
  <si>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</si>
  <si>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</si>
  <si>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</si>
  <si>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</si>
  <si>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</si>
  <si>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</si>
  <si>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</si>
  <si>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</si>
  <si>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</si>
  <si>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</si>
  <si>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</si>
  <si>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</si>
  <si>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</si>
  <si>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</si>
  <si>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</si>
  <si>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</si>
  <si>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</si>
  <si>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</si>
  <si>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</si>
  <si>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</si>
  <si>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</si>
  <si>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</si>
  <si>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</si>
  <si>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</si>
  <si>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</si>
  <si>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</si>
  <si>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</si>
  <si>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</si>
  <si>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</si>
  <si>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</si>
  <si>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</si>
  <si>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</si>
  <si>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</si>
  <si>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</si>
  <si>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</si>
  <si>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</si>
  <si>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</si>
  <si>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</si>
  <si>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</si>
  <si>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</si>
  <si>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</si>
  <si>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</si>
  <si>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</si>
  <si>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</si>
  <si>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</si>
  <si>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</si>
  <si>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</si>
  <si>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</si>
  <si>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</si>
  <si>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</si>
  <si>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</si>
  <si>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</si>
  <si>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</si>
  <si>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</si>
  <si>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</si>
  <si>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</si>
  <si>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</si>
  <si>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</si>
  <si>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</si>
  <si>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</si>
  <si>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</si>
  <si>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</si>
  <si>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</si>
  <si>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</si>
  <si>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</si>
  <si>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</si>
  <si>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</si>
  <si>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</si>
  <si>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</si>
  <si>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</si>
  <si>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</si>
  <si>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</si>
  <si>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</si>
  <si>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</si>
  <si>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</si>
  <si>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</si>
  <si>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</si>
  <si>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</si>
  <si>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</si>
  <si>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</si>
  <si>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</si>
  <si>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</si>
  <si>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</si>
  <si>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</si>
  <si>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</si>
  <si>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</si>
  <si>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</si>
  <si>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</si>
  <si>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</si>
  <si>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</si>
  <si>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</si>
  <si>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</si>
  <si>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</si>
  <si>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</si>
  <si>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</si>
  <si>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</si>
  <si>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</si>
  <si>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</si>
  <si>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</si>
  <si>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</si>
  <si>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</si>
  <si>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</si>
  <si>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</si>
  <si>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</si>
  <si>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</si>
  <si>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</si>
  <si>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</si>
  <si>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</si>
  <si>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</si>
  <si>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</si>
  <si>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</si>
  <si>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</si>
  <si>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</si>
  <si>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</si>
  <si>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</si>
  <si>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</si>
  <si>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</si>
  <si>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</si>
  <si>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</si>
  <si>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</si>
  <si>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</si>
  <si>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</si>
  <si>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</si>
  <si>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</si>
  <si>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</si>
  <si>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</si>
  <si>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</si>
  <si>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</si>
  <si>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</si>
  <si>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</si>
  <si>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</si>
  <si>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</si>
  <si>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</si>
  <si>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</si>
  <si>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</si>
  <si>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</si>
  <si>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</si>
  <si>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</si>
  <si>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</si>
  <si>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</si>
  <si>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</si>
  <si>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</si>
  <si>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</si>
  <si>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</si>
  <si>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</si>
  <si>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</si>
  <si>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</si>
  <si>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</si>
  <si>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</si>
  <si>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</si>
  <si>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</si>
  <si>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</si>
  <si>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</si>
  <si>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</si>
  <si>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</si>
  <si>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</si>
  <si>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</si>
  <si>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</si>
  <si>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</si>
  <si>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</si>
  <si>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</si>
  <si>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</si>
  <si>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</si>
  <si>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</si>
  <si>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</si>
  <si>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</si>
  <si>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</si>
  <si>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</si>
  <si>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</si>
  <si>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</si>
  <si>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</si>
  <si>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</si>
  <si>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</si>
  <si>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</si>
  <si>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</si>
  <si>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</si>
  <si>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</si>
  <si>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</si>
  <si>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</si>
  <si>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</si>
  <si>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</si>
  <si>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</si>
  <si>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</si>
  <si>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</si>
  <si>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</si>
  <si>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</si>
  <si>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</si>
  <si>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</si>
  <si>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</si>
  <si>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</si>
  <si>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</si>
  <si>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</si>
  <si>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</si>
  <si>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</si>
  <si>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</si>
  <si>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- за счет привлечения остатков средств бюджетных и автономных учреждений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</si>
  <si>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</si>
  <si>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</si>
  <si>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</si>
  <si>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</si>
  <si>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</si>
  <si>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</si>
  <si>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2023 год (отчетный год)</t>
  </si>
  <si>
    <t>2024 год</t>
  </si>
  <si>
    <t>Ожидаемая оценка исполнения за 2024 год</t>
  </si>
  <si>
    <t>Темп роста к исполнению  2023 г. без ЦС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</si>
  <si>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</si>
  <si>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</si>
  <si>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</si>
  <si>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Исполнитель Заместитель начальника финансового управления   __________Н.А.Пикина, 815-54-50270</t>
  </si>
  <si>
    <t>Паспорт муниципального образования Печенгский муниципальный округ по исполнению бюджета на "01"апреля 2024 года</t>
  </si>
  <si>
    <t>Исполнено на 01.04.2023</t>
  </si>
  <si>
    <t>Исполнено за апрель</t>
  </si>
  <si>
    <t xml:space="preserve">"10" апреля 2024 г. </t>
  </si>
  <si>
    <t>Исполнено на 01.04.2024</t>
  </si>
  <si>
    <t>Ожидаемое исполнение за апрель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</si>
</sst>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7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3" fontId="5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6"/>
  <sheetViews>
    <sheetView tabSelected="1" view="pageBreakPreview" zoomScaleNormal="100" zoomScaleSheetLayoutView="100" workbookViewId="0">
      <pane xSplit="2" ySplit="6" topLeftCell="M171" activePane="bottomRight" state="frozen"/>
      <selection pane="topRight" activeCell="C1" sqref="C1"/>
      <selection pane="bottomLeft" activeCell="A7" sqref="A7"/>
      <selection pane="bottomRight" activeCell="U171" sqref="U171"/>
    </sheetView>
  </sheetViews>
  <sheetFormatPr defaultRowHeight="15" x14ac:dyDescent="0.25"/>
  <cols>
    <col min="1" max="1" width="4" customWidth="1"/>
    <col min="2" max="2" width="39.28515625" customWidth="1"/>
    <col min="3" max="3" width="12.85546875" customWidth="1"/>
    <col min="4" max="4" width="12.42578125" customWidth="1"/>
    <col min="5" max="5" width="14.140625" customWidth="1"/>
    <col min="6" max="17" width="12.42578125" customWidth="1"/>
    <col min="19" max="27" width="11" customWidth="1"/>
  </cols>
  <sheetData>
    <row r="1" spans="1:28" ht="18.75" x14ac:dyDescent="0.25">
      <c r="A1" s="1"/>
      <c r="B1" s="2"/>
      <c r="C1" s="160" t="s">
        <v>225</v>
      </c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3"/>
      <c r="Z1" s="4" t="s">
        <v>0</v>
      </c>
      <c r="AA1" s="3"/>
      <c r="AB1" s="5"/>
    </row>
    <row r="2" spans="1:28" x14ac:dyDescent="0.25">
      <c r="A2" s="161" t="s">
        <v>1</v>
      </c>
      <c r="B2" s="164" t="s">
        <v>2</v>
      </c>
      <c r="C2" s="165" t="s">
        <v>217</v>
      </c>
      <c r="D2" s="166"/>
      <c r="E2" s="166"/>
      <c r="F2" s="166"/>
      <c r="G2" s="166"/>
      <c r="H2" s="166"/>
      <c r="I2" s="166"/>
      <c r="J2" s="166"/>
      <c r="K2" s="167"/>
      <c r="L2" s="165" t="s">
        <v>218</v>
      </c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7"/>
    </row>
    <row r="3" spans="1:28" ht="24" customHeight="1" x14ac:dyDescent="0.25">
      <c r="A3" s="162"/>
      <c r="B3" s="164"/>
      <c r="C3" s="168" t="s">
        <v>3</v>
      </c>
      <c r="D3" s="168"/>
      <c r="E3" s="168"/>
      <c r="F3" s="169" t="s">
        <v>226</v>
      </c>
      <c r="G3" s="169"/>
      <c r="H3" s="169"/>
      <c r="I3" s="170" t="s">
        <v>227</v>
      </c>
      <c r="J3" s="171"/>
      <c r="K3" s="172"/>
      <c r="L3" s="173" t="s">
        <v>4</v>
      </c>
      <c r="M3" s="173"/>
      <c r="N3" s="173"/>
      <c r="O3" s="173" t="s">
        <v>5</v>
      </c>
      <c r="P3" s="173"/>
      <c r="Q3" s="173"/>
      <c r="R3" s="174" t="s">
        <v>216</v>
      </c>
      <c r="S3" s="178" t="s">
        <v>229</v>
      </c>
      <c r="T3" s="179"/>
      <c r="U3" s="180"/>
      <c r="V3" s="178" t="s">
        <v>230</v>
      </c>
      <c r="W3" s="179"/>
      <c r="X3" s="180"/>
      <c r="Y3" s="181" t="s">
        <v>219</v>
      </c>
      <c r="Z3" s="182"/>
      <c r="AA3" s="183"/>
      <c r="AB3" s="174" t="s">
        <v>220</v>
      </c>
    </row>
    <row r="4" spans="1:28" x14ac:dyDescent="0.25">
      <c r="A4" s="162"/>
      <c r="B4" s="164"/>
      <c r="C4" s="168" t="s">
        <v>6</v>
      </c>
      <c r="D4" s="168" t="s">
        <v>7</v>
      </c>
      <c r="E4" s="168"/>
      <c r="F4" s="168" t="s">
        <v>6</v>
      </c>
      <c r="G4" s="168" t="s">
        <v>8</v>
      </c>
      <c r="H4" s="168"/>
      <c r="I4" s="168" t="s">
        <v>6</v>
      </c>
      <c r="J4" s="168" t="s">
        <v>8</v>
      </c>
      <c r="K4" s="168"/>
      <c r="L4" s="186" t="s">
        <v>6</v>
      </c>
      <c r="M4" s="173" t="s">
        <v>7</v>
      </c>
      <c r="N4" s="173"/>
      <c r="O4" s="186" t="s">
        <v>6</v>
      </c>
      <c r="P4" s="173" t="s">
        <v>7</v>
      </c>
      <c r="Q4" s="173"/>
      <c r="R4" s="177"/>
      <c r="S4" s="175" t="s">
        <v>6</v>
      </c>
      <c r="T4" s="184" t="s">
        <v>8</v>
      </c>
      <c r="U4" s="185"/>
      <c r="V4" s="175" t="s">
        <v>6</v>
      </c>
      <c r="W4" s="184" t="s">
        <v>8</v>
      </c>
      <c r="X4" s="185"/>
      <c r="Y4" s="175" t="s">
        <v>6</v>
      </c>
      <c r="Z4" s="184" t="s">
        <v>8</v>
      </c>
      <c r="AA4" s="185"/>
      <c r="AB4" s="174"/>
    </row>
    <row r="5" spans="1:28" ht="38.25" x14ac:dyDescent="0.25">
      <c r="A5" s="163"/>
      <c r="B5" s="164"/>
      <c r="C5" s="168"/>
      <c r="D5" s="6" t="s">
        <v>208</v>
      </c>
      <c r="E5" s="7" t="s">
        <v>9</v>
      </c>
      <c r="F5" s="168"/>
      <c r="G5" s="6" t="s">
        <v>208</v>
      </c>
      <c r="H5" s="8" t="s">
        <v>9</v>
      </c>
      <c r="I5" s="168"/>
      <c r="J5" s="6" t="s">
        <v>208</v>
      </c>
      <c r="K5" s="8" t="s">
        <v>9</v>
      </c>
      <c r="L5" s="186"/>
      <c r="M5" s="9" t="s">
        <v>208</v>
      </c>
      <c r="N5" s="10" t="s">
        <v>9</v>
      </c>
      <c r="O5" s="186"/>
      <c r="P5" s="9" t="s">
        <v>208</v>
      </c>
      <c r="Q5" s="10" t="s">
        <v>9</v>
      </c>
      <c r="R5" s="177"/>
      <c r="S5" s="176"/>
      <c r="T5" s="9" t="s">
        <v>208</v>
      </c>
      <c r="U5" s="10" t="s">
        <v>10</v>
      </c>
      <c r="V5" s="176"/>
      <c r="W5" s="9" t="s">
        <v>208</v>
      </c>
      <c r="X5" s="10" t="s">
        <v>10</v>
      </c>
      <c r="Y5" s="176"/>
      <c r="Z5" s="9" t="s">
        <v>208</v>
      </c>
      <c r="AA5" s="10" t="s">
        <v>10</v>
      </c>
      <c r="AB5" s="174"/>
    </row>
    <row r="6" spans="1:28" x14ac:dyDescent="0.25">
      <c r="A6" s="11" t="s">
        <v>11</v>
      </c>
      <c r="B6" s="12" t="s">
        <v>12</v>
      </c>
      <c r="C6" s="13">
        <f>C7+C37</f>
        <v>3194061.4070100002</v>
      </c>
      <c r="D6" s="13">
        <f>D7+D37</f>
        <v>1699506.54746</v>
      </c>
      <c r="E6" s="13">
        <f>C6-D6</f>
        <v>1494554.8595500002</v>
      </c>
      <c r="F6" s="13">
        <f>F7+F37</f>
        <v>577996.04152999993</v>
      </c>
      <c r="G6" s="13">
        <f>G7+G37</f>
        <v>333204.14682999993</v>
      </c>
      <c r="H6" s="13">
        <f>F6-G6</f>
        <v>244791.8947</v>
      </c>
      <c r="I6" s="13">
        <f>I7+I37</f>
        <v>222172.11239999998</v>
      </c>
      <c r="J6" s="13">
        <f>J7+J37</f>
        <v>103035.89861</v>
      </c>
      <c r="K6" s="13">
        <f>I6-J6</f>
        <v>119136.21378999998</v>
      </c>
      <c r="L6" s="13">
        <f>L7+L37</f>
        <v>3224206.2004499999</v>
      </c>
      <c r="M6" s="13">
        <f>M7+M37</f>
        <v>1804128.5594499998</v>
      </c>
      <c r="N6" s="13">
        <f>L6-M6</f>
        <v>1420077.6410000001</v>
      </c>
      <c r="O6" s="13">
        <f>O7+O37</f>
        <v>3224206.2004499999</v>
      </c>
      <c r="P6" s="13">
        <f>P7+P37</f>
        <v>1804128.5594499998</v>
      </c>
      <c r="Q6" s="13">
        <f>O6-P6</f>
        <v>1420077.6410000001</v>
      </c>
      <c r="R6" s="14">
        <f>Q6/E6</f>
        <v>0.9501676247786417</v>
      </c>
      <c r="S6" s="13">
        <f>S7+S37</f>
        <v>587685.17943999998</v>
      </c>
      <c r="T6" s="13">
        <f>T7+T37</f>
        <v>353820.63527000003</v>
      </c>
      <c r="U6" s="13">
        <f>S6-T6</f>
        <v>233864.54416999995</v>
      </c>
      <c r="V6" s="13">
        <f>V7+V37</f>
        <v>227031.57129400002</v>
      </c>
      <c r="W6" s="13">
        <f>W7+W37</f>
        <v>100796.3</v>
      </c>
      <c r="X6" s="13">
        <f>V6-W6</f>
        <v>126235.27129400002</v>
      </c>
      <c r="Y6" s="13">
        <f>Y7+Y37</f>
        <v>3679334.3816499999</v>
      </c>
      <c r="Z6" s="13">
        <f>Z7+Z37</f>
        <v>2250795.8214300005</v>
      </c>
      <c r="AA6" s="13">
        <f>Y6-Z6</f>
        <v>1428538.5602199994</v>
      </c>
      <c r="AB6" s="14">
        <f>AA6/E6</f>
        <v>0.95582878814506833</v>
      </c>
    </row>
    <row r="7" spans="1:28" x14ac:dyDescent="0.25">
      <c r="A7" s="15" t="s">
        <v>13</v>
      </c>
      <c r="B7" s="16" t="s">
        <v>14</v>
      </c>
      <c r="C7" s="17">
        <f>C8+C21</f>
        <v>1138030.21331</v>
      </c>
      <c r="D7" s="17">
        <f>D8+D21</f>
        <v>1885.1163899999999</v>
      </c>
      <c r="E7" s="18">
        <f t="shared" ref="E7:E99" si="0">C7-D7</f>
        <v>1136145.0969199999</v>
      </c>
      <c r="F7" s="17">
        <f>F8+F21</f>
        <v>193775.67144999999</v>
      </c>
      <c r="G7" s="17">
        <f>G8+G21</f>
        <v>231.42966999999999</v>
      </c>
      <c r="H7" s="18">
        <f t="shared" ref="H7:H49" si="1">F7-G7</f>
        <v>193544.24177999998</v>
      </c>
      <c r="I7" s="17">
        <f>I8+I21</f>
        <v>119148.3751</v>
      </c>
      <c r="J7" s="17">
        <f>J8+J21</f>
        <v>16.025809999999993</v>
      </c>
      <c r="K7" s="18">
        <f t="shared" ref="K7:K49" si="2">I7-J7</f>
        <v>119132.34929</v>
      </c>
      <c r="L7" s="17">
        <f>L8+L21</f>
        <v>1139013</v>
      </c>
      <c r="M7" s="17">
        <f>M8+M21</f>
        <v>0</v>
      </c>
      <c r="N7" s="18">
        <f t="shared" ref="N7:N49" si="3">L7-M7</f>
        <v>1139013</v>
      </c>
      <c r="O7" s="17">
        <f>O8+O21</f>
        <v>1139013</v>
      </c>
      <c r="P7" s="17">
        <f>P8+P21</f>
        <v>0</v>
      </c>
      <c r="Q7" s="18">
        <f t="shared" ref="Q7:Q49" si="4">O7-P7</f>
        <v>1139013</v>
      </c>
      <c r="R7" s="19">
        <f>Q7/E7</f>
        <v>1.0025242401589152</v>
      </c>
      <c r="S7" s="17">
        <f>S8+S21</f>
        <v>229022.53094999999</v>
      </c>
      <c r="T7" s="17">
        <f>T8+T21</f>
        <v>836.54777000000001</v>
      </c>
      <c r="U7" s="18">
        <f t="shared" ref="U7:U49" si="5">S7-T7</f>
        <v>228185.98317999998</v>
      </c>
      <c r="V7" s="17">
        <f>V8+V21</f>
        <v>126235.27129400001</v>
      </c>
      <c r="W7" s="17">
        <f>W8+W21</f>
        <v>0</v>
      </c>
      <c r="X7" s="18">
        <f t="shared" ref="X7:X49" si="6">V7-W7</f>
        <v>126235.27129400001</v>
      </c>
      <c r="Y7" s="17">
        <f>Y8+Y21</f>
        <v>1139995</v>
      </c>
      <c r="Z7" s="17">
        <f>Z8+Z21</f>
        <v>836.54777000000001</v>
      </c>
      <c r="AA7" s="18">
        <f t="shared" ref="AA7:AA49" si="7">Y7-Z7</f>
        <v>1139158.4522299999</v>
      </c>
      <c r="AB7" s="19">
        <f t="shared" ref="AB7:AB99" si="8">AA7/E7</f>
        <v>1.0026522627419412</v>
      </c>
    </row>
    <row r="8" spans="1:28" ht="19.5" x14ac:dyDescent="0.25">
      <c r="A8" s="20" t="s">
        <v>15</v>
      </c>
      <c r="B8" s="21" t="s">
        <v>16</v>
      </c>
      <c r="C8" s="22">
        <f>C10+C11+C12+C17+C18+C19+C20</f>
        <v>927607.6507900001</v>
      </c>
      <c r="D8" s="22"/>
      <c r="E8" s="18">
        <f t="shared" si="0"/>
        <v>927607.6507900001</v>
      </c>
      <c r="F8" s="22">
        <f>F10+F11+F12+F17+F18+F19+F20</f>
        <v>144060.12312</v>
      </c>
      <c r="G8" s="22"/>
      <c r="H8" s="18">
        <f t="shared" si="1"/>
        <v>144060.12312</v>
      </c>
      <c r="I8" s="22">
        <f>I10+I11+I12+I17+I18+I19+I20</f>
        <v>110782.85494</v>
      </c>
      <c r="J8" s="22"/>
      <c r="K8" s="18">
        <f t="shared" si="2"/>
        <v>110782.85494</v>
      </c>
      <c r="L8" s="22">
        <f>L10+L11+L12+L17+L18+L19+L20</f>
        <v>951127.9</v>
      </c>
      <c r="M8" s="22"/>
      <c r="N8" s="18">
        <f t="shared" si="3"/>
        <v>951127.9</v>
      </c>
      <c r="O8" s="22">
        <f>O10+O11+O12+O17+O18+O19+O20</f>
        <v>951127.9</v>
      </c>
      <c r="P8" s="22"/>
      <c r="Q8" s="18">
        <f t="shared" si="4"/>
        <v>951127.9</v>
      </c>
      <c r="R8" s="23">
        <f t="shared" ref="R8:R50" si="9">Q8/E8</f>
        <v>1.0253558163195062</v>
      </c>
      <c r="S8" s="29">
        <f>S10+S11+S12+S17+S18+S19+S20</f>
        <v>167080.91435000001</v>
      </c>
      <c r="T8" s="22"/>
      <c r="U8" s="18">
        <f t="shared" si="5"/>
        <v>167080.91435000001</v>
      </c>
      <c r="V8" s="22">
        <f>V10+V11+V12+V17+V18+V19+V20</f>
        <v>120186.34940400001</v>
      </c>
      <c r="W8" s="22"/>
      <c r="X8" s="18">
        <f t="shared" si="6"/>
        <v>120186.34940400001</v>
      </c>
      <c r="Y8" s="22">
        <f>Y10+Y11+Y12+Y17+Y18+Y19+Y20</f>
        <v>951282.61</v>
      </c>
      <c r="Z8" s="22"/>
      <c r="AA8" s="18">
        <f t="shared" si="7"/>
        <v>951282.61</v>
      </c>
      <c r="AB8" s="23">
        <f t="shared" si="8"/>
        <v>1.0255226001961466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763261.76471000002</v>
      </c>
      <c r="D10" s="26"/>
      <c r="E10" s="18">
        <f t="shared" si="0"/>
        <v>763261.76471000002</v>
      </c>
      <c r="F10" s="26">
        <f>130924.02498</f>
        <v>130924.02498</v>
      </c>
      <c r="G10" s="26"/>
      <c r="H10" s="18">
        <f t="shared" si="1"/>
        <v>130924.02498</v>
      </c>
      <c r="I10" s="26">
        <f>169400.18379-F10</f>
        <v>38476.158810000008</v>
      </c>
      <c r="J10" s="26"/>
      <c r="K10" s="18">
        <f t="shared" si="2"/>
        <v>38476.158810000008</v>
      </c>
      <c r="L10" s="26">
        <v>774046.95</v>
      </c>
      <c r="M10" s="26"/>
      <c r="N10" s="18">
        <f t="shared" si="3"/>
        <v>774046.95</v>
      </c>
      <c r="O10" s="26">
        <f>L10</f>
        <v>774046.95</v>
      </c>
      <c r="P10" s="26"/>
      <c r="Q10" s="18">
        <f t="shared" si="4"/>
        <v>774046.95</v>
      </c>
      <c r="R10" s="19">
        <f>Q10/E10</f>
        <v>1.0141303885359667</v>
      </c>
      <c r="S10" s="26">
        <v>149820.02426000001</v>
      </c>
      <c r="T10" s="26"/>
      <c r="U10" s="18">
        <f t="shared" si="5"/>
        <v>149820.02426000001</v>
      </c>
      <c r="V10" s="26">
        <v>49512.3</v>
      </c>
      <c r="W10" s="26"/>
      <c r="X10" s="18">
        <f t="shared" si="6"/>
        <v>49512.3</v>
      </c>
      <c r="Y10" s="26">
        <v>774046.95</v>
      </c>
      <c r="Z10" s="26"/>
      <c r="AA10" s="18">
        <f t="shared" si="7"/>
        <v>774046.95</v>
      </c>
      <c r="AB10" s="19">
        <f t="shared" si="8"/>
        <v>1.0141303885359667</v>
      </c>
    </row>
    <row r="11" spans="1:28" x14ac:dyDescent="0.25">
      <c r="A11" s="24" t="s">
        <v>20</v>
      </c>
      <c r="B11" s="25" t="s">
        <v>21</v>
      </c>
      <c r="C11" s="26">
        <v>16403.059000000001</v>
      </c>
      <c r="D11" s="26"/>
      <c r="E11" s="18">
        <f t="shared" si="0"/>
        <v>16403.059000000001</v>
      </c>
      <c r="F11" s="26">
        <f>3788.79343</f>
        <v>3788.7934300000002</v>
      </c>
      <c r="G11" s="26"/>
      <c r="H11" s="18">
        <f t="shared" si="1"/>
        <v>3788.7934300000002</v>
      </c>
      <c r="I11" s="26">
        <f>5080.38991-F11</f>
        <v>1291.5964799999997</v>
      </c>
      <c r="J11" s="26"/>
      <c r="K11" s="18">
        <f t="shared" si="2"/>
        <v>1291.5964799999997</v>
      </c>
      <c r="L11" s="26">
        <v>17105.099999999999</v>
      </c>
      <c r="M11" s="26"/>
      <c r="N11" s="18">
        <f t="shared" si="3"/>
        <v>17105.099999999999</v>
      </c>
      <c r="O11" s="26">
        <f>L11</f>
        <v>17105.099999999999</v>
      </c>
      <c r="P11" s="26"/>
      <c r="Q11" s="18">
        <f t="shared" si="4"/>
        <v>17105.099999999999</v>
      </c>
      <c r="R11" s="19"/>
      <c r="S11" s="26">
        <v>4508.3621700000003</v>
      </c>
      <c r="T11" s="26"/>
      <c r="U11" s="18">
        <f t="shared" si="5"/>
        <v>4508.3621700000003</v>
      </c>
      <c r="V11" s="26">
        <v>156.91498000000001</v>
      </c>
      <c r="W11" s="26"/>
      <c r="X11" s="18">
        <f t="shared" si="6"/>
        <v>156.91498000000001</v>
      </c>
      <c r="Y11" s="26">
        <v>17105.099999999999</v>
      </c>
      <c r="Z11" s="26"/>
      <c r="AA11" s="18">
        <f t="shared" si="7"/>
        <v>17105.099999999999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126179.05486</v>
      </c>
      <c r="D12" s="27">
        <f>SUM(D13:D16)</f>
        <v>0</v>
      </c>
      <c r="E12" s="18">
        <f>C12-D12</f>
        <v>126179.05486</v>
      </c>
      <c r="F12" s="27">
        <f>SUM(F13:F16)</f>
        <v>6663.08565</v>
      </c>
      <c r="G12" s="27">
        <f>SUM(G13:G16)</f>
        <v>0</v>
      </c>
      <c r="H12" s="18">
        <f t="shared" si="1"/>
        <v>6663.08565</v>
      </c>
      <c r="I12" s="27">
        <f>SUM(I13:I16)</f>
        <v>69226.536629999988</v>
      </c>
      <c r="J12" s="27">
        <f>SUM(J13:J16)</f>
        <v>0</v>
      </c>
      <c r="K12" s="18">
        <f>I12-J12</f>
        <v>69226.536629999988</v>
      </c>
      <c r="L12" s="27">
        <f>SUM(L13:L16)</f>
        <v>138759.85</v>
      </c>
      <c r="M12" s="27">
        <f>SUM(M13:M16)</f>
        <v>0</v>
      </c>
      <c r="N12" s="18">
        <f t="shared" si="3"/>
        <v>138759.85</v>
      </c>
      <c r="O12" s="27">
        <f>SUM(O13:O16)</f>
        <v>138759.85</v>
      </c>
      <c r="P12" s="27">
        <f>SUM(P13:P16)</f>
        <v>0</v>
      </c>
      <c r="Q12" s="18">
        <f t="shared" si="4"/>
        <v>138759.85</v>
      </c>
      <c r="R12" s="19">
        <f t="shared" si="9"/>
        <v>1.0997058913934554</v>
      </c>
      <c r="S12" s="27">
        <f>SUM(S13:S16)</f>
        <v>9882.506800000001</v>
      </c>
      <c r="T12" s="27">
        <f>SUM(T13:T16)</f>
        <v>0</v>
      </c>
      <c r="U12" s="18">
        <f t="shared" si="5"/>
        <v>9882.506800000001</v>
      </c>
      <c r="V12" s="27">
        <f>SUM(V13:V16)</f>
        <v>69841.2</v>
      </c>
      <c r="W12" s="27">
        <f>SUM(W13:W16)</f>
        <v>0</v>
      </c>
      <c r="X12" s="18">
        <f t="shared" si="6"/>
        <v>69841.2</v>
      </c>
      <c r="Y12" s="27">
        <f>SUM(Y13:Y16)</f>
        <v>138914.56</v>
      </c>
      <c r="Z12" s="27">
        <f>SUM(Z13:Z16)</f>
        <v>0</v>
      </c>
      <c r="AA12" s="18">
        <f t="shared" si="7"/>
        <v>138914.56</v>
      </c>
      <c r="AB12" s="19">
        <f t="shared" si="8"/>
        <v>1.1009320061410388</v>
      </c>
    </row>
    <row r="13" spans="1:28" ht="26.25" x14ac:dyDescent="0.25">
      <c r="A13" s="24"/>
      <c r="B13" s="25" t="s">
        <v>24</v>
      </c>
      <c r="C13" s="26">
        <v>126330.50339</v>
      </c>
      <c r="D13" s="26"/>
      <c r="E13" s="28">
        <f t="shared" si="0"/>
        <v>126330.50339</v>
      </c>
      <c r="F13" s="26">
        <f>7383.05371</f>
        <v>7383.0537100000001</v>
      </c>
      <c r="G13" s="26"/>
      <c r="H13" s="28">
        <f t="shared" si="1"/>
        <v>7383.0537100000001</v>
      </c>
      <c r="I13" s="26">
        <f>75930.03579-F13</f>
        <v>68546.982079999987</v>
      </c>
      <c r="J13" s="26"/>
      <c r="K13" s="18">
        <f>I13-J13</f>
        <v>68546.982079999987</v>
      </c>
      <c r="L13" s="26">
        <v>138145.88</v>
      </c>
      <c r="M13" s="26"/>
      <c r="N13" s="28">
        <f t="shared" si="3"/>
        <v>138145.88</v>
      </c>
      <c r="O13" s="26">
        <f>L13</f>
        <v>138145.88</v>
      </c>
      <c r="P13" s="26"/>
      <c r="Q13" s="28">
        <f>O13-P13</f>
        <v>138145.88</v>
      </c>
      <c r="R13" s="19">
        <f t="shared" si="9"/>
        <v>1.0935275035952661</v>
      </c>
      <c r="S13" s="26">
        <v>9113.8288200000006</v>
      </c>
      <c r="T13" s="26"/>
      <c r="U13" s="28">
        <f t="shared" si="5"/>
        <v>9113.8288200000006</v>
      </c>
      <c r="V13" s="26">
        <v>69841.2</v>
      </c>
      <c r="W13" s="26"/>
      <c r="X13" s="28">
        <f t="shared" si="6"/>
        <v>69841.2</v>
      </c>
      <c r="Y13" s="26">
        <v>138145.88</v>
      </c>
      <c r="Z13" s="26"/>
      <c r="AA13" s="28">
        <f t="shared" si="7"/>
        <v>138145.88</v>
      </c>
      <c r="AB13" s="19">
        <f t="shared" si="8"/>
        <v>1.0935275035952661</v>
      </c>
    </row>
    <row r="14" spans="1:28" ht="26.25" x14ac:dyDescent="0.25">
      <c r="A14" s="24"/>
      <c r="B14" s="25" t="s">
        <v>25</v>
      </c>
      <c r="C14" s="26">
        <v>-455.64361000000002</v>
      </c>
      <c r="D14" s="26"/>
      <c r="E14" s="28">
        <f t="shared" si="0"/>
        <v>-455.64361000000002</v>
      </c>
      <c r="F14" s="26">
        <f>-477.88248</f>
        <v>-477.88247999999999</v>
      </c>
      <c r="G14" s="26"/>
      <c r="H14" s="28">
        <f t="shared" si="1"/>
        <v>-477.88247999999999</v>
      </c>
      <c r="I14" s="26">
        <f>-477.88248-F14</f>
        <v>0</v>
      </c>
      <c r="J14" s="26"/>
      <c r="K14" s="18">
        <f>I14-J14</f>
        <v>0</v>
      </c>
      <c r="L14" s="26">
        <v>0</v>
      </c>
      <c r="M14" s="26"/>
      <c r="N14" s="28">
        <f t="shared" si="3"/>
        <v>0</v>
      </c>
      <c r="O14" s="26"/>
      <c r="P14" s="26"/>
      <c r="Q14" s="28">
        <f>O14-P14</f>
        <v>0</v>
      </c>
      <c r="R14" s="19">
        <f t="shared" si="9"/>
        <v>0</v>
      </c>
      <c r="S14" s="26">
        <v>11.87616</v>
      </c>
      <c r="T14" s="26"/>
      <c r="U14" s="28">
        <f t="shared" si="5"/>
        <v>11.87616</v>
      </c>
      <c r="V14" s="26">
        <v>0</v>
      </c>
      <c r="W14" s="26"/>
      <c r="X14" s="28">
        <f t="shared" si="6"/>
        <v>0</v>
      </c>
      <c r="Y14" s="26">
        <v>11.88</v>
      </c>
      <c r="Z14" s="26"/>
      <c r="AA14" s="28">
        <f t="shared" si="7"/>
        <v>11.88</v>
      </c>
      <c r="AB14" s="19">
        <f t="shared" si="8"/>
        <v>-2.6073009122195307E-2</v>
      </c>
    </row>
    <row r="15" spans="1:28" x14ac:dyDescent="0.25">
      <c r="A15" s="24"/>
      <c r="B15" s="25" t="s">
        <v>26</v>
      </c>
      <c r="C15" s="26">
        <v>0</v>
      </c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>
        <v>0</v>
      </c>
      <c r="W15" s="26"/>
      <c r="X15" s="28">
        <f t="shared" si="6"/>
        <v>0</v>
      </c>
      <c r="Y15" s="26"/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304.19508000000002</v>
      </c>
      <c r="D16" s="26"/>
      <c r="E16" s="28">
        <f t="shared" si="0"/>
        <v>304.19508000000002</v>
      </c>
      <c r="F16" s="26">
        <f>-242.08558</f>
        <v>-242.08557999999999</v>
      </c>
      <c r="G16" s="26"/>
      <c r="H16" s="28">
        <f t="shared" si="1"/>
        <v>-242.08557999999999</v>
      </c>
      <c r="I16" s="26">
        <f>437.46897-F16</f>
        <v>679.55455000000006</v>
      </c>
      <c r="J16" s="26"/>
      <c r="K16" s="18">
        <f>I16-J16</f>
        <v>679.55455000000006</v>
      </c>
      <c r="L16" s="26">
        <v>613.97</v>
      </c>
      <c r="M16" s="26"/>
      <c r="N16" s="28">
        <f t="shared" si="3"/>
        <v>613.97</v>
      </c>
      <c r="O16" s="26">
        <f t="shared" ref="O16:O19" si="10">L16</f>
        <v>613.97</v>
      </c>
      <c r="P16" s="26"/>
      <c r="Q16" s="28">
        <f t="shared" si="4"/>
        <v>613.97</v>
      </c>
      <c r="R16" s="19">
        <f t="shared" si="9"/>
        <v>2.0183429659677601</v>
      </c>
      <c r="S16" s="26">
        <v>756.80182000000002</v>
      </c>
      <c r="T16" s="26"/>
      <c r="U16" s="28">
        <f t="shared" si="5"/>
        <v>756.80182000000002</v>
      </c>
      <c r="V16" s="26">
        <v>0</v>
      </c>
      <c r="W16" s="26"/>
      <c r="X16" s="28">
        <f t="shared" si="6"/>
        <v>0</v>
      </c>
      <c r="Y16" s="26">
        <v>756.8</v>
      </c>
      <c r="Z16" s="26"/>
      <c r="AA16" s="28">
        <f t="shared" si="7"/>
        <v>756.8</v>
      </c>
      <c r="AB16" s="19">
        <f t="shared" si="8"/>
        <v>2.4878771872312986</v>
      </c>
    </row>
    <row r="17" spans="1:28" x14ac:dyDescent="0.25">
      <c r="A17" s="24" t="s">
        <v>28</v>
      </c>
      <c r="B17" s="25" t="s">
        <v>29</v>
      </c>
      <c r="C17" s="26">
        <v>10856.024869999999</v>
      </c>
      <c r="D17" s="26"/>
      <c r="E17" s="18">
        <f t="shared" si="0"/>
        <v>10856.024869999999</v>
      </c>
      <c r="F17" s="26">
        <f>823.37149</f>
        <v>823.37148999999999</v>
      </c>
      <c r="G17" s="26"/>
      <c r="H17" s="18">
        <f t="shared" si="1"/>
        <v>823.37148999999999</v>
      </c>
      <c r="I17" s="26">
        <f>856.54577-F17</f>
        <v>33.174279999999953</v>
      </c>
      <c r="J17" s="26"/>
      <c r="K17" s="18">
        <f t="shared" si="2"/>
        <v>33.174279999999953</v>
      </c>
      <c r="L17" s="26">
        <v>9549.2999999999993</v>
      </c>
      <c r="M17" s="26"/>
      <c r="N17" s="18">
        <f t="shared" si="3"/>
        <v>9549.2999999999993</v>
      </c>
      <c r="O17" s="26">
        <f t="shared" si="10"/>
        <v>9549.2999999999993</v>
      </c>
      <c r="P17" s="26"/>
      <c r="Q17" s="18">
        <f>O17-P17</f>
        <v>9549.2999999999993</v>
      </c>
      <c r="R17" s="19">
        <f t="shared" si="9"/>
        <v>0.87963136731465497</v>
      </c>
      <c r="S17" s="26">
        <v>716.35576000000003</v>
      </c>
      <c r="T17" s="26"/>
      <c r="U17" s="18">
        <f t="shared" si="5"/>
        <v>716.35576000000003</v>
      </c>
      <c r="V17" s="26">
        <v>263.63442400000002</v>
      </c>
      <c r="W17" s="26"/>
      <c r="X17" s="18">
        <f t="shared" si="6"/>
        <v>263.63442400000002</v>
      </c>
      <c r="Y17" s="26">
        <v>9549.2999999999993</v>
      </c>
      <c r="Z17" s="26"/>
      <c r="AA17" s="18">
        <f t="shared" si="7"/>
        <v>9549.2999999999993</v>
      </c>
      <c r="AB17" s="19">
        <f>AA17/E17</f>
        <v>0.87963136731465497</v>
      </c>
    </row>
    <row r="18" spans="1:28" x14ac:dyDescent="0.25">
      <c r="A18" s="24" t="s">
        <v>30</v>
      </c>
      <c r="B18" s="25" t="s">
        <v>31</v>
      </c>
      <c r="C18" s="26">
        <v>1573.18426</v>
      </c>
      <c r="D18" s="26"/>
      <c r="E18" s="18">
        <f t="shared" si="0"/>
        <v>1573.18426</v>
      </c>
      <c r="F18" s="26">
        <f>295.3758</f>
        <v>295.37580000000003</v>
      </c>
      <c r="G18" s="26"/>
      <c r="H18" s="18">
        <f t="shared" si="1"/>
        <v>295.37580000000003</v>
      </c>
      <c r="I18" s="26">
        <f>595.5029-F18</f>
        <v>300.12709999999993</v>
      </c>
      <c r="J18" s="26"/>
      <c r="K18" s="18">
        <f t="shared" si="2"/>
        <v>300.12709999999993</v>
      </c>
      <c r="L18" s="26">
        <v>2092.4</v>
      </c>
      <c r="M18" s="26"/>
      <c r="N18" s="18">
        <f t="shared" si="3"/>
        <v>2092.4</v>
      </c>
      <c r="O18" s="26">
        <f t="shared" si="10"/>
        <v>2092.4</v>
      </c>
      <c r="P18" s="26"/>
      <c r="Q18" s="18">
        <f t="shared" si="4"/>
        <v>2092.4</v>
      </c>
      <c r="R18" s="19">
        <f t="shared" si="9"/>
        <v>1.3300412756481559</v>
      </c>
      <c r="S18" s="26">
        <v>490.97667999999999</v>
      </c>
      <c r="T18" s="26"/>
      <c r="U18" s="18">
        <f t="shared" si="5"/>
        <v>490.97667999999999</v>
      </c>
      <c r="V18" s="26">
        <v>0</v>
      </c>
      <c r="W18" s="26"/>
      <c r="X18" s="18">
        <f t="shared" si="6"/>
        <v>0</v>
      </c>
      <c r="Y18" s="26">
        <v>2092.4</v>
      </c>
      <c r="Z18" s="26"/>
      <c r="AA18" s="18">
        <f t="shared" si="7"/>
        <v>2092.4</v>
      </c>
      <c r="AB18" s="19">
        <f t="shared" si="8"/>
        <v>1.3300412756481559</v>
      </c>
    </row>
    <row r="19" spans="1:28" x14ac:dyDescent="0.25">
      <c r="A19" s="24" t="s">
        <v>32</v>
      </c>
      <c r="B19" s="25" t="s">
        <v>33</v>
      </c>
      <c r="C19" s="26">
        <v>9334.3575600000004</v>
      </c>
      <c r="D19" s="26"/>
      <c r="E19" s="18">
        <f t="shared" si="0"/>
        <v>9334.3575600000004</v>
      </c>
      <c r="F19" s="26">
        <f>1565.4779</f>
        <v>1565.4779000000001</v>
      </c>
      <c r="G19" s="26"/>
      <c r="H19" s="18">
        <f t="shared" si="1"/>
        <v>1565.4779000000001</v>
      </c>
      <c r="I19" s="26">
        <f>3020.74567-F19</f>
        <v>1455.2677699999997</v>
      </c>
      <c r="J19" s="26"/>
      <c r="K19" s="18">
        <f t="shared" si="2"/>
        <v>1455.2677699999997</v>
      </c>
      <c r="L19" s="26">
        <v>9574.2999999999993</v>
      </c>
      <c r="M19" s="26"/>
      <c r="N19" s="18">
        <f t="shared" si="3"/>
        <v>9574.2999999999993</v>
      </c>
      <c r="O19" s="26">
        <f t="shared" si="10"/>
        <v>9574.2999999999993</v>
      </c>
      <c r="P19" s="26"/>
      <c r="Q19" s="18">
        <f t="shared" ref="Q19" si="11">O19-P19</f>
        <v>9574.2999999999993</v>
      </c>
      <c r="R19" s="19">
        <f t="shared" ref="R19" si="12">Q19/E19</f>
        <v>1.0257052977087797</v>
      </c>
      <c r="S19" s="26">
        <v>1662.68868</v>
      </c>
      <c r="T19" s="26"/>
      <c r="U19" s="18">
        <f t="shared" si="5"/>
        <v>1662.68868</v>
      </c>
      <c r="V19" s="26">
        <v>412.3</v>
      </c>
      <c r="W19" s="26"/>
      <c r="X19" s="18">
        <f t="shared" si="6"/>
        <v>412.3</v>
      </c>
      <c r="Y19" s="26">
        <v>9574.2999999999993</v>
      </c>
      <c r="Z19" s="26"/>
      <c r="AA19" s="18">
        <f t="shared" si="7"/>
        <v>9574.2999999999993</v>
      </c>
      <c r="AB19" s="19">
        <f t="shared" si="8"/>
        <v>1.0257052977087797</v>
      </c>
    </row>
    <row r="20" spans="1:28" x14ac:dyDescent="0.25">
      <c r="A20" s="24" t="s">
        <v>34</v>
      </c>
      <c r="B20" s="25" t="s">
        <v>35</v>
      </c>
      <c r="C20" s="26">
        <v>0.20552999999999999</v>
      </c>
      <c r="D20" s="26"/>
      <c r="E20" s="18">
        <f t="shared" si="0"/>
        <v>0.20552999999999999</v>
      </c>
      <c r="F20" s="26">
        <f>-0.00613</f>
        <v>-6.13E-3</v>
      </c>
      <c r="G20" s="26"/>
      <c r="H20" s="18">
        <f t="shared" si="1"/>
        <v>-6.13E-3</v>
      </c>
      <c r="I20" s="26">
        <f>-0.00613</f>
        <v>-6.13E-3</v>
      </c>
      <c r="J20" s="26"/>
      <c r="K20" s="18">
        <f t="shared" si="2"/>
        <v>-6.13E-3</v>
      </c>
      <c r="L20" s="26"/>
      <c r="M20" s="26"/>
      <c r="N20" s="18">
        <f t="shared" si="3"/>
        <v>0</v>
      </c>
      <c r="O20" s="26"/>
      <c r="P20" s="26"/>
      <c r="Q20" s="18">
        <f t="shared" si="4"/>
        <v>0</v>
      </c>
      <c r="R20" s="19">
        <f t="shared" si="9"/>
        <v>0</v>
      </c>
      <c r="S20" s="26"/>
      <c r="T20" s="26"/>
      <c r="U20" s="18">
        <f t="shared" si="5"/>
        <v>0</v>
      </c>
      <c r="V20" s="26">
        <v>0</v>
      </c>
      <c r="W20" s="26"/>
      <c r="X20" s="18">
        <f t="shared" si="6"/>
        <v>0</v>
      </c>
      <c r="Y20" s="26"/>
      <c r="Z20" s="26"/>
      <c r="AA20" s="18">
        <f t="shared" si="7"/>
        <v>0</v>
      </c>
      <c r="AB20" s="19">
        <f t="shared" si="8"/>
        <v>0</v>
      </c>
    </row>
    <row r="21" spans="1:28" ht="19.5" x14ac:dyDescent="0.25">
      <c r="A21" s="20" t="s">
        <v>36</v>
      </c>
      <c r="B21" s="21" t="s">
        <v>37</v>
      </c>
      <c r="C21" s="29">
        <f>C23+C24+C25+C26+C27+C28+C29+C30+C31+C32+C33+C36</f>
        <v>210422.56252000004</v>
      </c>
      <c r="D21" s="29">
        <f>D23+D24+D25+D26+D27+D28+D29+D30+D31+D32+D33+D36</f>
        <v>1885.1163899999999</v>
      </c>
      <c r="E21" s="30">
        <f>C21-D21</f>
        <v>208537.44613000003</v>
      </c>
      <c r="F21" s="29">
        <f>F23+F24+F25+F26+F27+F28+F29+F30+F31+F32+F33+F36</f>
        <v>49715.548329999998</v>
      </c>
      <c r="G21" s="29">
        <f>G23+G24+G25+G26+G27+G28+G29+G30+G31+G32+G33+G36</f>
        <v>231.42966999999999</v>
      </c>
      <c r="H21" s="30">
        <f t="shared" si="1"/>
        <v>49484.11866</v>
      </c>
      <c r="I21" s="29">
        <f>I23+I24+I25+I26+I27+I28+I29+I30+I31+I32+I33+I36</f>
        <v>8365.5201599999982</v>
      </c>
      <c r="J21" s="29">
        <f>J23+J24+J25+J26+J27+J28+J29+J30+J31+J32+J33+J36</f>
        <v>16.025809999999993</v>
      </c>
      <c r="K21" s="30">
        <f>I21-J21</f>
        <v>8349.494349999999</v>
      </c>
      <c r="L21" s="29">
        <f>L23+L24+L25+L26+L27+L28+L29+L30+L31+L32+L33+L36</f>
        <v>187885.09999999998</v>
      </c>
      <c r="M21" s="29">
        <f>M23+M24+M25+M26+M27+M28+M29+M30+M31+M32+M33+M36</f>
        <v>0</v>
      </c>
      <c r="N21" s="30">
        <f t="shared" si="3"/>
        <v>187885.09999999998</v>
      </c>
      <c r="O21" s="29">
        <f>O23+O24+O25+O26+O27+O28+O29+O30+O31+O32+O33+O36</f>
        <v>187885.09999999998</v>
      </c>
      <c r="P21" s="29">
        <f>P23+P24+P25+P26+P27+P28+P29+P30+P31+P32+P33+P36</f>
        <v>0</v>
      </c>
      <c r="Q21" s="30">
        <f t="shared" si="4"/>
        <v>187885.09999999998</v>
      </c>
      <c r="R21" s="31">
        <f t="shared" si="9"/>
        <v>0.90096576651693727</v>
      </c>
      <c r="S21" s="29">
        <f>S23+S24+S25+S26+S27+S28+S29+S30+S31+S32+S33+S36</f>
        <v>61941.616599999994</v>
      </c>
      <c r="T21" s="29">
        <f>T23+T24+T25+T26+T27+T28+T29+T30+T31+T32+T33+T36</f>
        <v>836.54777000000001</v>
      </c>
      <c r="U21" s="30">
        <f t="shared" si="5"/>
        <v>61105.068829999997</v>
      </c>
      <c r="V21" s="29">
        <f>V23+V24+V25+V26+V27+V28+V29+V30+V31+V32+V33+V36</f>
        <v>6048.9218900000005</v>
      </c>
      <c r="W21" s="29">
        <f>W23+W24+W25+W26+W27+W28+W29+W30+W31+W32+W33+W36</f>
        <v>0</v>
      </c>
      <c r="X21" s="30">
        <f t="shared" si="6"/>
        <v>6048.9218900000005</v>
      </c>
      <c r="Y21" s="29">
        <f>Y23+Y24+Y25+Y26+Y27+Y28+Y29+Y30+Y31+Y32+Y33+Y36</f>
        <v>188712.39</v>
      </c>
      <c r="Z21" s="29">
        <f>Z23+Z24+Z25+Z26+Z27+Z28+Z29+Z30+Z31+Z32+Z33+Z36</f>
        <v>836.54777000000001</v>
      </c>
      <c r="AA21" s="30">
        <f t="shared" si="7"/>
        <v>187875.84223000001</v>
      </c>
      <c r="AB21" s="31">
        <f t="shared" si="8"/>
        <v>0.90092137271538375</v>
      </c>
    </row>
    <row r="22" spans="1:28" x14ac:dyDescent="0.25">
      <c r="A22" s="24"/>
      <c r="B22" s="25" t="s">
        <v>17</v>
      </c>
      <c r="C22" s="26"/>
      <c r="D22" s="26"/>
      <c r="E22" s="18"/>
      <c r="F22" s="26"/>
      <c r="G22" s="26"/>
      <c r="H22" s="18"/>
      <c r="I22" s="26"/>
      <c r="J22" s="26"/>
      <c r="K22" s="18"/>
      <c r="L22" s="26"/>
      <c r="M22" s="26"/>
      <c r="N22" s="18"/>
      <c r="O22" s="26"/>
      <c r="P22" s="26"/>
      <c r="Q22" s="18"/>
      <c r="R22" s="19"/>
      <c r="S22" s="26"/>
      <c r="T22" s="26"/>
      <c r="U22" s="18"/>
      <c r="V22" s="26"/>
      <c r="W22" s="26"/>
      <c r="X22" s="18"/>
      <c r="Y22" s="26"/>
      <c r="Z22" s="26"/>
      <c r="AA22" s="18"/>
      <c r="AB22" s="19"/>
    </row>
    <row r="23" spans="1:28" ht="38.25" x14ac:dyDescent="0.25">
      <c r="A23" s="24" t="s">
        <v>18</v>
      </c>
      <c r="B23" s="32" t="s">
        <v>38</v>
      </c>
      <c r="C23" s="26"/>
      <c r="D23" s="26"/>
      <c r="E23" s="18">
        <f t="shared" si="0"/>
        <v>0</v>
      </c>
      <c r="F23" s="26"/>
      <c r="G23" s="26"/>
      <c r="H23" s="18">
        <f t="shared" si="1"/>
        <v>0</v>
      </c>
      <c r="I23" s="26"/>
      <c r="J23" s="26"/>
      <c r="K23" s="18">
        <f t="shared" si="2"/>
        <v>0</v>
      </c>
      <c r="L23" s="26"/>
      <c r="M23" s="26"/>
      <c r="N23" s="18">
        <f t="shared" si="3"/>
        <v>0</v>
      </c>
      <c r="O23" s="26"/>
      <c r="P23" s="26"/>
      <c r="Q23" s="18">
        <f t="shared" si="4"/>
        <v>0</v>
      </c>
      <c r="R23" s="19" t="e">
        <f t="shared" si="9"/>
        <v>#DIV/0!</v>
      </c>
      <c r="S23" s="26"/>
      <c r="T23" s="26"/>
      <c r="U23" s="18">
        <f t="shared" si="5"/>
        <v>0</v>
      </c>
      <c r="V23" s="26"/>
      <c r="W23" s="26"/>
      <c r="X23" s="18">
        <f t="shared" si="6"/>
        <v>0</v>
      </c>
      <c r="Y23" s="26"/>
      <c r="Z23" s="26"/>
      <c r="AA23" s="18">
        <f t="shared" si="7"/>
        <v>0</v>
      </c>
      <c r="AB23" s="19" t="e">
        <f t="shared" si="8"/>
        <v>#DIV/0!</v>
      </c>
    </row>
    <row r="24" spans="1:28" ht="25.5" x14ac:dyDescent="0.25">
      <c r="A24" s="24" t="s">
        <v>20</v>
      </c>
      <c r="B24" s="32" t="s">
        <v>39</v>
      </c>
      <c r="C24" s="26"/>
      <c r="D24" s="26"/>
      <c r="E24" s="18">
        <f>C24-D24</f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/>
      <c r="W24" s="26"/>
      <c r="X24" s="18">
        <f t="shared" si="6"/>
        <v>0</v>
      </c>
      <c r="Y24" s="26"/>
      <c r="Z24" s="26"/>
      <c r="AA24" s="18">
        <f>Y24-Z24</f>
        <v>0</v>
      </c>
      <c r="AB24" s="19" t="e">
        <f t="shared" si="8"/>
        <v>#DIV/0!</v>
      </c>
    </row>
    <row r="25" spans="1:28" ht="25.5" x14ac:dyDescent="0.25">
      <c r="A25" s="24" t="s">
        <v>22</v>
      </c>
      <c r="B25" s="32" t="s">
        <v>40</v>
      </c>
      <c r="C25" s="26">
        <f>135841.3443+1688.20246</f>
        <v>137529.54676</v>
      </c>
      <c r="D25" s="26"/>
      <c r="E25" s="18">
        <f t="shared" ref="E25:E28" si="13">C25-D25</f>
        <v>137529.54676</v>
      </c>
      <c r="F25" s="26">
        <f>33804.91996+477.25864</f>
        <v>34282.178599999999</v>
      </c>
      <c r="G25" s="26"/>
      <c r="H25" s="18">
        <f t="shared" si="1"/>
        <v>34282.178599999999</v>
      </c>
      <c r="I25" s="26">
        <f>34073.34942+588.18943-F25</f>
        <v>379.3602499999979</v>
      </c>
      <c r="J25" s="26"/>
      <c r="K25" s="18">
        <f t="shared" si="2"/>
        <v>379.3602499999979</v>
      </c>
      <c r="L25" s="26">
        <f>134272.8+1428+59.9</f>
        <v>135760.69999999998</v>
      </c>
      <c r="M25" s="26"/>
      <c r="N25" s="18">
        <f t="shared" si="3"/>
        <v>135760.69999999998</v>
      </c>
      <c r="O25" s="26">
        <f>L25</f>
        <v>135760.69999999998</v>
      </c>
      <c r="P25" s="26"/>
      <c r="Q25" s="18">
        <f t="shared" si="4"/>
        <v>135760.69999999998</v>
      </c>
      <c r="R25" s="19"/>
      <c r="S25" s="26">
        <f>43172.67063+322.64982+0</f>
        <v>43495.320449999999</v>
      </c>
      <c r="T25" s="26"/>
      <c r="U25" s="18">
        <f t="shared" si="5"/>
        <v>43495.320449999999</v>
      </c>
      <c r="V25" s="26">
        <v>447.35018000000002</v>
      </c>
      <c r="W25" s="26"/>
      <c r="X25" s="18">
        <f t="shared" si="6"/>
        <v>447.35018000000002</v>
      </c>
      <c r="Y25" s="26">
        <v>135760.70000000001</v>
      </c>
      <c r="Z25" s="26"/>
      <c r="AA25" s="18">
        <f t="shared" si="7"/>
        <v>135760.70000000001</v>
      </c>
      <c r="AB25" s="19"/>
    </row>
    <row r="26" spans="1:28" x14ac:dyDescent="0.25">
      <c r="A26" s="24" t="s">
        <v>28</v>
      </c>
      <c r="B26" s="32" t="s">
        <v>41</v>
      </c>
      <c r="C26" s="26"/>
      <c r="D26" s="26"/>
      <c r="E26" s="18">
        <f t="shared" si="13"/>
        <v>0</v>
      </c>
      <c r="F26" s="26"/>
      <c r="G26" s="26"/>
      <c r="H26" s="18">
        <f t="shared" si="1"/>
        <v>0</v>
      </c>
      <c r="I26" s="26"/>
      <c r="J26" s="26"/>
      <c r="K26" s="18">
        <f t="shared" si="2"/>
        <v>0</v>
      </c>
      <c r="L26" s="26"/>
      <c r="M26" s="26"/>
      <c r="N26" s="18">
        <f t="shared" si="3"/>
        <v>0</v>
      </c>
      <c r="O26" s="26"/>
      <c r="P26" s="26"/>
      <c r="Q26" s="18">
        <f t="shared" si="4"/>
        <v>0</v>
      </c>
      <c r="R26" s="19" t="e">
        <f t="shared" si="9"/>
        <v>#DIV/0!</v>
      </c>
      <c r="S26" s="26"/>
      <c r="T26" s="26"/>
      <c r="U26" s="18">
        <f t="shared" si="5"/>
        <v>0</v>
      </c>
      <c r="V26" s="26"/>
      <c r="W26" s="26"/>
      <c r="X26" s="18">
        <f t="shared" si="6"/>
        <v>0</v>
      </c>
      <c r="Y26" s="26"/>
      <c r="Z26" s="26"/>
      <c r="AA26" s="18">
        <f t="shared" si="7"/>
        <v>0</v>
      </c>
      <c r="AB26" s="19" t="e">
        <f t="shared" si="8"/>
        <v>#DIV/0!</v>
      </c>
    </row>
    <row r="27" spans="1:28" ht="38.25" x14ac:dyDescent="0.25">
      <c r="A27" s="24" t="s">
        <v>30</v>
      </c>
      <c r="B27" s="32" t="s">
        <v>42</v>
      </c>
      <c r="C27" s="26">
        <f>23674.16163</f>
        <v>23674.161629999999</v>
      </c>
      <c r="D27" s="26"/>
      <c r="E27" s="18">
        <f t="shared" si="13"/>
        <v>23674.161629999999</v>
      </c>
      <c r="F27" s="26">
        <f>5608.77662</f>
        <v>5608.7766199999996</v>
      </c>
      <c r="G27" s="26"/>
      <c r="H27" s="18">
        <f t="shared" si="1"/>
        <v>5608.7766199999996</v>
      </c>
      <c r="I27" s="26">
        <f>7856.35956-F27</f>
        <v>2247.5829400000002</v>
      </c>
      <c r="J27" s="26"/>
      <c r="K27" s="18">
        <f t="shared" si="2"/>
        <v>2247.5829400000002</v>
      </c>
      <c r="L27" s="26">
        <v>17119.599999999999</v>
      </c>
      <c r="M27" s="26"/>
      <c r="N27" s="18">
        <f t="shared" si="3"/>
        <v>17119.599999999999</v>
      </c>
      <c r="O27" s="26">
        <f t="shared" ref="O27:O36" si="14">L27</f>
        <v>17119.599999999999</v>
      </c>
      <c r="P27" s="26"/>
      <c r="Q27" s="18">
        <f t="shared" si="4"/>
        <v>17119.599999999999</v>
      </c>
      <c r="R27" s="19"/>
      <c r="S27" s="26">
        <v>5334.4716500000004</v>
      </c>
      <c r="T27" s="26"/>
      <c r="U27" s="18">
        <f t="shared" si="5"/>
        <v>5334.4716500000004</v>
      </c>
      <c r="V27" s="26">
        <v>2065.52835</v>
      </c>
      <c r="W27" s="26"/>
      <c r="X27" s="18">
        <f t="shared" si="6"/>
        <v>2065.52835</v>
      </c>
      <c r="Y27" s="26">
        <v>17119.599999999999</v>
      </c>
      <c r="Z27" s="26"/>
      <c r="AA27" s="18">
        <f t="shared" si="7"/>
        <v>17119.599999999999</v>
      </c>
      <c r="AB27" s="19"/>
    </row>
    <row r="28" spans="1:28" ht="38.25" x14ac:dyDescent="0.25">
      <c r="A28" s="24" t="s">
        <v>32</v>
      </c>
      <c r="B28" s="32" t="s">
        <v>43</v>
      </c>
      <c r="C28" s="26">
        <f>60.7693</f>
        <v>60.769300000000001</v>
      </c>
      <c r="D28" s="26"/>
      <c r="E28" s="18">
        <f t="shared" si="13"/>
        <v>60.769300000000001</v>
      </c>
      <c r="F28" s="26">
        <v>27</v>
      </c>
      <c r="G28" s="26"/>
      <c r="H28" s="18">
        <f t="shared" si="1"/>
        <v>27</v>
      </c>
      <c r="I28" s="26">
        <f>27-F28</f>
        <v>0</v>
      </c>
      <c r="J28" s="26"/>
      <c r="K28" s="18">
        <f t="shared" si="2"/>
        <v>0</v>
      </c>
      <c r="L28" s="26"/>
      <c r="M28" s="26"/>
      <c r="N28" s="18">
        <f t="shared" si="3"/>
        <v>0</v>
      </c>
      <c r="O28" s="26"/>
      <c r="P28" s="26"/>
      <c r="Q28" s="18">
        <f t="shared" si="4"/>
        <v>0</v>
      </c>
      <c r="R28" s="19"/>
      <c r="S28" s="26"/>
      <c r="T28" s="26"/>
      <c r="U28" s="18">
        <f t="shared" si="5"/>
        <v>0</v>
      </c>
      <c r="V28" s="26"/>
      <c r="W28" s="26"/>
      <c r="X28" s="18">
        <f t="shared" si="6"/>
        <v>0</v>
      </c>
      <c r="Y28" s="26"/>
      <c r="Z28" s="26"/>
      <c r="AA28" s="18">
        <f t="shared" si="7"/>
        <v>0</v>
      </c>
      <c r="AB28" s="19"/>
    </row>
    <row r="29" spans="1:28" ht="25.5" x14ac:dyDescent="0.25">
      <c r="A29" s="24" t="s">
        <v>34</v>
      </c>
      <c r="B29" s="32" t="s">
        <v>44</v>
      </c>
      <c r="C29" s="26">
        <v>2</v>
      </c>
      <c r="D29" s="26"/>
      <c r="E29" s="18">
        <f t="shared" si="0"/>
        <v>2</v>
      </c>
      <c r="F29" s="26">
        <v>0</v>
      </c>
      <c r="G29" s="26"/>
      <c r="H29" s="18">
        <f t="shared" si="1"/>
        <v>0</v>
      </c>
      <c r="I29" s="26">
        <f>0-F29</f>
        <v>0</v>
      </c>
      <c r="J29" s="26"/>
      <c r="K29" s="18">
        <f t="shared" si="2"/>
        <v>0</v>
      </c>
      <c r="L29" s="26"/>
      <c r="M29" s="26"/>
      <c r="N29" s="18">
        <f t="shared" si="3"/>
        <v>0</v>
      </c>
      <c r="O29" s="26"/>
      <c r="P29" s="26"/>
      <c r="Q29" s="18">
        <f t="shared" si="4"/>
        <v>0</v>
      </c>
      <c r="R29" s="19">
        <f t="shared" si="9"/>
        <v>0</v>
      </c>
      <c r="S29" s="26"/>
      <c r="T29" s="26"/>
      <c r="U29" s="18">
        <f t="shared" si="5"/>
        <v>0</v>
      </c>
      <c r="V29" s="26"/>
      <c r="W29" s="26"/>
      <c r="X29" s="18">
        <f t="shared" si="6"/>
        <v>0</v>
      </c>
      <c r="Y29" s="26"/>
      <c r="Z29" s="26"/>
      <c r="AA29" s="18">
        <f t="shared" si="7"/>
        <v>0</v>
      </c>
      <c r="AB29" s="19">
        <f t="shared" si="8"/>
        <v>0</v>
      </c>
    </row>
    <row r="30" spans="1:28" ht="25.5" x14ac:dyDescent="0.25">
      <c r="A30" s="24" t="s">
        <v>45</v>
      </c>
      <c r="B30" s="32" t="s">
        <v>46</v>
      </c>
      <c r="C30" s="26">
        <v>22192.854800000001</v>
      </c>
      <c r="D30" s="26"/>
      <c r="E30" s="18">
        <f t="shared" si="0"/>
        <v>22192.854800000001</v>
      </c>
      <c r="F30" s="26">
        <f>6636.18897</f>
        <v>6636.1889700000002</v>
      </c>
      <c r="G30" s="26"/>
      <c r="H30" s="18">
        <f t="shared" si="1"/>
        <v>6636.1889700000002</v>
      </c>
      <c r="I30" s="26">
        <f>10378.49226-F30</f>
        <v>3742.3032900000007</v>
      </c>
      <c r="J30" s="26"/>
      <c r="K30" s="18">
        <f t="shared" si="2"/>
        <v>3742.3032900000007</v>
      </c>
      <c r="L30" s="26">
        <v>24914</v>
      </c>
      <c r="M30" s="26"/>
      <c r="N30" s="18">
        <f t="shared" si="3"/>
        <v>24914</v>
      </c>
      <c r="O30" s="26">
        <f t="shared" si="14"/>
        <v>24914</v>
      </c>
      <c r="P30" s="26"/>
      <c r="Q30" s="18">
        <f t="shared" si="4"/>
        <v>24914</v>
      </c>
      <c r="R30" s="19">
        <f t="shared" si="9"/>
        <v>1.1226135720042649</v>
      </c>
      <c r="S30" s="26">
        <v>3853.33466</v>
      </c>
      <c r="T30" s="26"/>
      <c r="U30" s="18">
        <f t="shared" si="5"/>
        <v>3853.33466</v>
      </c>
      <c r="V30" s="26">
        <v>3412.3</v>
      </c>
      <c r="W30" s="26"/>
      <c r="X30" s="18">
        <f t="shared" si="6"/>
        <v>3412.3</v>
      </c>
      <c r="Y30" s="26">
        <v>24914</v>
      </c>
      <c r="Z30" s="26"/>
      <c r="AA30" s="18">
        <f t="shared" si="7"/>
        <v>24914</v>
      </c>
      <c r="AB30" s="19">
        <f t="shared" si="8"/>
        <v>1.1226135720042649</v>
      </c>
    </row>
    <row r="31" spans="1:28" ht="25.5" x14ac:dyDescent="0.25">
      <c r="A31" s="24" t="s">
        <v>47</v>
      </c>
      <c r="B31" s="32" t="s">
        <v>48</v>
      </c>
      <c r="C31" s="26">
        <v>10106.430899999999</v>
      </c>
      <c r="D31" s="26">
        <v>1545.5074</v>
      </c>
      <c r="E31" s="18">
        <f t="shared" si="0"/>
        <v>8560.923499999999</v>
      </c>
      <c r="F31" s="26">
        <f>41.74737+76.62592+624.4687</f>
        <v>742.84199000000001</v>
      </c>
      <c r="G31" s="26">
        <f>126.82068</f>
        <v>126.82068</v>
      </c>
      <c r="H31" s="18">
        <f t="shared" si="1"/>
        <v>616.02130999999997</v>
      </c>
      <c r="I31" s="26">
        <f>166.18518+76.62592+1705.48187-F31</f>
        <v>1205.4509800000001</v>
      </c>
      <c r="J31" s="26">
        <f>142.84649-G31</f>
        <v>16.025809999999993</v>
      </c>
      <c r="K31" s="18">
        <f t="shared" si="2"/>
        <v>1189.42517</v>
      </c>
      <c r="L31" s="26">
        <v>3192.8</v>
      </c>
      <c r="M31" s="26"/>
      <c r="N31" s="18">
        <f t="shared" si="3"/>
        <v>3192.8</v>
      </c>
      <c r="O31" s="26">
        <f t="shared" si="14"/>
        <v>3192.8</v>
      </c>
      <c r="P31" s="26"/>
      <c r="Q31" s="18">
        <f t="shared" si="4"/>
        <v>3192.8</v>
      </c>
      <c r="R31" s="19">
        <f t="shared" si="9"/>
        <v>0.37295041825803027</v>
      </c>
      <c r="S31" s="26">
        <f>40.28694+112.11131+2245.28043</f>
        <v>2397.67868</v>
      </c>
      <c r="T31" s="26">
        <v>1.0477700000000001</v>
      </c>
      <c r="U31" s="18">
        <f t="shared" si="5"/>
        <v>2396.6309099999999</v>
      </c>
      <c r="V31" s="26">
        <v>62.746639999999999</v>
      </c>
      <c r="W31" s="26"/>
      <c r="X31" s="18">
        <f t="shared" si="6"/>
        <v>62.746639999999999</v>
      </c>
      <c r="Y31" s="26">
        <v>3192.8</v>
      </c>
      <c r="Z31" s="26">
        <f>T31</f>
        <v>1.0477700000000001</v>
      </c>
      <c r="AA31" s="18">
        <f t="shared" si="7"/>
        <v>3191.7522300000001</v>
      </c>
      <c r="AB31" s="19">
        <f t="shared" si="8"/>
        <v>0.37282802842473717</v>
      </c>
    </row>
    <row r="32" spans="1:28" ht="25.5" x14ac:dyDescent="0.25">
      <c r="A32" s="24" t="s">
        <v>49</v>
      </c>
      <c r="B32" s="32" t="s">
        <v>50</v>
      </c>
      <c r="C32" s="26">
        <v>14070.86089</v>
      </c>
      <c r="D32" s="26"/>
      <c r="E32" s="18">
        <f t="shared" si="0"/>
        <v>14070.86089</v>
      </c>
      <c r="F32" s="26">
        <f>1744.45968</f>
        <v>1744.4596799999999</v>
      </c>
      <c r="G32" s="26"/>
      <c r="H32" s="18">
        <f t="shared" si="1"/>
        <v>1744.4596799999999</v>
      </c>
      <c r="I32" s="26">
        <f>2334.28543-F32</f>
        <v>589.82574999999997</v>
      </c>
      <c r="J32" s="26"/>
      <c r="K32" s="18">
        <f t="shared" si="2"/>
        <v>589.82574999999997</v>
      </c>
      <c r="L32" s="26">
        <v>6194.5</v>
      </c>
      <c r="M32" s="26"/>
      <c r="N32" s="18">
        <f t="shared" si="3"/>
        <v>6194.5</v>
      </c>
      <c r="O32" s="26">
        <f t="shared" si="14"/>
        <v>6194.5</v>
      </c>
      <c r="P32" s="26"/>
      <c r="Q32" s="18">
        <f t="shared" si="4"/>
        <v>6194.5</v>
      </c>
      <c r="R32" s="19">
        <f t="shared" si="9"/>
        <v>0.44023603448473864</v>
      </c>
      <c r="S32" s="26">
        <v>5522.5948900000003</v>
      </c>
      <c r="T32" s="26"/>
      <c r="U32" s="18">
        <f t="shared" si="5"/>
        <v>5522.5948900000003</v>
      </c>
      <c r="V32" s="26">
        <v>60.996720000000003</v>
      </c>
      <c r="W32" s="26"/>
      <c r="X32" s="18">
        <f t="shared" si="6"/>
        <v>60.996720000000003</v>
      </c>
      <c r="Y32" s="26">
        <v>6194.5</v>
      </c>
      <c r="Z32" s="26"/>
      <c r="AA32" s="18">
        <f t="shared" si="7"/>
        <v>6194.5</v>
      </c>
      <c r="AB32" s="19">
        <f t="shared" si="8"/>
        <v>0.44023603448473864</v>
      </c>
    </row>
    <row r="33" spans="1:28" x14ac:dyDescent="0.25">
      <c r="A33" s="24" t="s">
        <v>51</v>
      </c>
      <c r="B33" s="32" t="s">
        <v>52</v>
      </c>
      <c r="C33" s="26">
        <v>2483.4390600000002</v>
      </c>
      <c r="D33" s="26">
        <v>104.60899000000001</v>
      </c>
      <c r="E33" s="18">
        <f t="shared" si="0"/>
        <v>2378.83007</v>
      </c>
      <c r="F33" s="26">
        <f>21.07429+542.93051+116.41634+1.7097</f>
        <v>682.13084000000003</v>
      </c>
      <c r="G33" s="26">
        <f>104.60899</f>
        <v>104.60899000000001</v>
      </c>
      <c r="H33" s="18">
        <f t="shared" si="1"/>
        <v>577.52185000000009</v>
      </c>
      <c r="I33" s="26">
        <f>230.81907+626.91843+11.69+1.7097-F33</f>
        <v>189.00635999999997</v>
      </c>
      <c r="J33" s="26">
        <f>104.60899-G33</f>
        <v>0</v>
      </c>
      <c r="K33" s="18">
        <f t="shared" si="2"/>
        <v>189.00635999999997</v>
      </c>
      <c r="L33" s="26">
        <v>703.5</v>
      </c>
      <c r="M33" s="26"/>
      <c r="N33" s="18">
        <f t="shared" si="3"/>
        <v>703.5</v>
      </c>
      <c r="O33" s="26">
        <f t="shared" si="14"/>
        <v>703.5</v>
      </c>
      <c r="P33" s="26"/>
      <c r="Q33" s="18">
        <f t="shared" si="4"/>
        <v>703.5</v>
      </c>
      <c r="R33" s="19">
        <f t="shared" si="9"/>
        <v>0.29573360824382044</v>
      </c>
      <c r="S33" s="26">
        <f>510.92273</f>
        <v>510.92273</v>
      </c>
      <c r="T33" s="26"/>
      <c r="U33" s="18">
        <f t="shared" si="5"/>
        <v>510.92273</v>
      </c>
      <c r="V33" s="26">
        <v>0</v>
      </c>
      <c r="W33" s="26"/>
      <c r="X33" s="18">
        <f t="shared" si="6"/>
        <v>0</v>
      </c>
      <c r="Y33" s="26">
        <v>703.5</v>
      </c>
      <c r="Z33" s="26"/>
      <c r="AA33" s="18">
        <f t="shared" si="7"/>
        <v>703.5</v>
      </c>
      <c r="AB33" s="19">
        <f t="shared" si="8"/>
        <v>0.29573360824382044</v>
      </c>
    </row>
    <row r="34" spans="1:28" x14ac:dyDescent="0.25">
      <c r="A34" s="33"/>
      <c r="B34" s="34" t="s">
        <v>7</v>
      </c>
      <c r="C34" s="35"/>
      <c r="D34" s="35"/>
      <c r="E34" s="36"/>
      <c r="F34" s="35"/>
      <c r="G34" s="35"/>
      <c r="H34" s="36"/>
      <c r="I34" s="35"/>
      <c r="J34" s="35"/>
      <c r="K34" s="36"/>
      <c r="L34" s="35"/>
      <c r="M34" s="35"/>
      <c r="N34" s="36"/>
      <c r="O34" s="26"/>
      <c r="P34" s="35"/>
      <c r="Q34" s="36"/>
      <c r="R34" s="37"/>
      <c r="S34" s="35"/>
      <c r="T34" s="35"/>
      <c r="U34" s="36"/>
      <c r="V34" s="35"/>
      <c r="W34" s="35"/>
      <c r="X34" s="36"/>
      <c r="Y34" s="26"/>
      <c r="Z34" s="35"/>
      <c r="AA34" s="36"/>
      <c r="AB34" s="37"/>
    </row>
    <row r="35" spans="1:28" ht="38.25" x14ac:dyDescent="0.25">
      <c r="A35" s="24"/>
      <c r="B35" s="32" t="s">
        <v>53</v>
      </c>
      <c r="C35" s="26">
        <v>0</v>
      </c>
      <c r="D35" s="26"/>
      <c r="E35" s="18">
        <f t="shared" ref="E35" si="15">C35-D35</f>
        <v>0</v>
      </c>
      <c r="F35" s="26">
        <v>0</v>
      </c>
      <c r="G35" s="26"/>
      <c r="H35" s="18">
        <f t="shared" ref="H35" si="16">F35-G35</f>
        <v>0</v>
      </c>
      <c r="I35" s="26"/>
      <c r="J35" s="26"/>
      <c r="K35" s="18">
        <f t="shared" ref="K35" si="17">I35-J35</f>
        <v>0</v>
      </c>
      <c r="L35" s="26">
        <v>0</v>
      </c>
      <c r="M35" s="26"/>
      <c r="N35" s="18">
        <f t="shared" ref="N35" si="18">L35-M35</f>
        <v>0</v>
      </c>
      <c r="O35" s="26">
        <f t="shared" si="14"/>
        <v>0</v>
      </c>
      <c r="P35" s="26"/>
      <c r="Q35" s="18">
        <f t="shared" ref="Q35" si="19">O35-P35</f>
        <v>0</v>
      </c>
      <c r="R35" s="19" t="e">
        <f t="shared" ref="R35" si="20">Q35/E35</f>
        <v>#DIV/0!</v>
      </c>
      <c r="S35" s="26"/>
      <c r="T35" s="26"/>
      <c r="U35" s="18">
        <f t="shared" ref="U35" si="21">S35-T35</f>
        <v>0</v>
      </c>
      <c r="V35" s="26"/>
      <c r="W35" s="26"/>
      <c r="X35" s="18">
        <f t="shared" ref="X35" si="22">V35-W35</f>
        <v>0</v>
      </c>
      <c r="Y35" s="26"/>
      <c r="Z35" s="26"/>
      <c r="AA35" s="18">
        <f t="shared" ref="AA35" si="23">Y35-Z35</f>
        <v>0</v>
      </c>
      <c r="AB35" s="19" t="e">
        <f t="shared" ref="AB35" si="24">AA35/E35</f>
        <v>#DIV/0!</v>
      </c>
    </row>
    <row r="36" spans="1:28" x14ac:dyDescent="0.25">
      <c r="A36" s="24" t="s">
        <v>54</v>
      </c>
      <c r="B36" s="25" t="s">
        <v>55</v>
      </c>
      <c r="C36" s="26">
        <v>302.49918000000002</v>
      </c>
      <c r="D36" s="26">
        <v>235</v>
      </c>
      <c r="E36" s="18">
        <f t="shared" si="0"/>
        <v>67.499180000000024</v>
      </c>
      <c r="F36" s="26">
        <f>-8.02837</f>
        <v>-8.0283700000000007</v>
      </c>
      <c r="G36" s="26"/>
      <c r="H36" s="18">
        <f t="shared" si="1"/>
        <v>-8.0283700000000007</v>
      </c>
      <c r="I36" s="26">
        <f>3.96222-F36</f>
        <v>11.990590000000001</v>
      </c>
      <c r="J36" s="26"/>
      <c r="K36" s="18">
        <f t="shared" si="2"/>
        <v>11.990590000000001</v>
      </c>
      <c r="L36" s="26">
        <v>0</v>
      </c>
      <c r="M36" s="26"/>
      <c r="N36" s="18">
        <f t="shared" si="3"/>
        <v>0</v>
      </c>
      <c r="O36" s="26">
        <f t="shared" si="14"/>
        <v>0</v>
      </c>
      <c r="P36" s="26"/>
      <c r="Q36" s="18">
        <f t="shared" si="4"/>
        <v>0</v>
      </c>
      <c r="R36" s="19">
        <f t="shared" si="9"/>
        <v>0</v>
      </c>
      <c r="S36" s="26">
        <f>875.5-48.20646</f>
        <v>827.29354000000001</v>
      </c>
      <c r="T36" s="26">
        <v>835.5</v>
      </c>
      <c r="U36" s="18">
        <f t="shared" si="5"/>
        <v>-8.2064599999999928</v>
      </c>
      <c r="V36" s="26"/>
      <c r="W36" s="26"/>
      <c r="X36" s="18">
        <f t="shared" si="6"/>
        <v>0</v>
      </c>
      <c r="Y36" s="26">
        <v>827.29</v>
      </c>
      <c r="Z36" s="26">
        <v>835.5</v>
      </c>
      <c r="AA36" s="18">
        <f t="shared" si="7"/>
        <v>-8.2100000000000364</v>
      </c>
      <c r="AB36" s="19">
        <f t="shared" si="8"/>
        <v>-0.12163110722234008</v>
      </c>
    </row>
    <row r="37" spans="1:28" x14ac:dyDescent="0.25">
      <c r="A37" s="38" t="s">
        <v>56</v>
      </c>
      <c r="B37" s="16" t="s">
        <v>57</v>
      </c>
      <c r="C37" s="17">
        <f>C38+C47+C49+C48</f>
        <v>2056031.1936999999</v>
      </c>
      <c r="D37" s="17">
        <f>D38+D47+D49+D48</f>
        <v>1697621.4310699999</v>
      </c>
      <c r="E37" s="30">
        <f t="shared" si="0"/>
        <v>358409.76263000001</v>
      </c>
      <c r="F37" s="17">
        <f>F38+F47+F49+F48</f>
        <v>384220.37007999996</v>
      </c>
      <c r="G37" s="17">
        <f>G38+G47+G49+G48</f>
        <v>332972.71715999994</v>
      </c>
      <c r="H37" s="30">
        <f t="shared" si="1"/>
        <v>51247.652920000022</v>
      </c>
      <c r="I37" s="17">
        <f>I38+I47+I49+I48</f>
        <v>103023.73729999999</v>
      </c>
      <c r="J37" s="17">
        <f>J38+J47+J49+J48</f>
        <v>103019.8728</v>
      </c>
      <c r="K37" s="30">
        <f t="shared" si="2"/>
        <v>3.8644999999960419</v>
      </c>
      <c r="L37" s="17">
        <f>L38+L47+L49+L48</f>
        <v>2085193.2004499999</v>
      </c>
      <c r="M37" s="17">
        <f>M38+M47+M49+M48</f>
        <v>1804128.5594499998</v>
      </c>
      <c r="N37" s="30">
        <f t="shared" si="3"/>
        <v>281064.64100000006</v>
      </c>
      <c r="O37" s="17">
        <f>O38+O47+O49+O48</f>
        <v>2085193.2004499999</v>
      </c>
      <c r="P37" s="17">
        <f>P38+P47+P49+P48</f>
        <v>1804128.5594499998</v>
      </c>
      <c r="Q37" s="30">
        <f t="shared" si="4"/>
        <v>281064.64100000006</v>
      </c>
      <c r="R37" s="31">
        <f t="shared" si="9"/>
        <v>0.78419917732585243</v>
      </c>
      <c r="S37" s="17">
        <f>S38+S47+S49+S48</f>
        <v>358662.64848999999</v>
      </c>
      <c r="T37" s="17">
        <f>T38+T47+T49+T48</f>
        <v>352984.08750000002</v>
      </c>
      <c r="U37" s="30">
        <f t="shared" si="5"/>
        <v>5678.560989999969</v>
      </c>
      <c r="V37" s="17">
        <f>V38+V47+V49+V48</f>
        <v>100796.3</v>
      </c>
      <c r="W37" s="17">
        <f>W38+W47+W49+W48</f>
        <v>100796.3</v>
      </c>
      <c r="X37" s="30">
        <f t="shared" si="6"/>
        <v>0</v>
      </c>
      <c r="Y37" s="17">
        <f>Y38+Y47+Y49+Y48</f>
        <v>2539339.3816499999</v>
      </c>
      <c r="Z37" s="17">
        <f>Z38+Z47+Z49+Z48</f>
        <v>2249959.2736600004</v>
      </c>
      <c r="AA37" s="30">
        <f t="shared" si="7"/>
        <v>289380.10798999947</v>
      </c>
      <c r="AB37" s="31">
        <f t="shared" si="8"/>
        <v>0.80740018314941253</v>
      </c>
    </row>
    <row r="38" spans="1:28" ht="26.25" x14ac:dyDescent="0.25">
      <c r="A38" s="24" t="s">
        <v>58</v>
      </c>
      <c r="B38" s="25" t="s">
        <v>59</v>
      </c>
      <c r="C38" s="39">
        <f>C39+C43+C45+C46</f>
        <v>2014384.6881200001</v>
      </c>
      <c r="D38" s="39">
        <f>D39+D43+D45+D46</f>
        <v>1668095.34412</v>
      </c>
      <c r="E38" s="18">
        <f t="shared" si="0"/>
        <v>346289.34400000004</v>
      </c>
      <c r="F38" s="39">
        <f>F39+F43+F45+F46</f>
        <v>383377.86890999996</v>
      </c>
      <c r="G38" s="39">
        <f>G39+G43+G45+G46</f>
        <v>333377.86890999996</v>
      </c>
      <c r="H38" s="18">
        <f t="shared" si="1"/>
        <v>50000</v>
      </c>
      <c r="I38" s="39">
        <f>I39+I43+I45+I46</f>
        <v>103023.73729999999</v>
      </c>
      <c r="J38" s="39">
        <f>J39+J43+J45+J46</f>
        <v>103023.73729999999</v>
      </c>
      <c r="K38" s="18">
        <f t="shared" si="2"/>
        <v>0</v>
      </c>
      <c r="L38" s="39">
        <f>L39+L43+L45+L46</f>
        <v>2085193.2004499999</v>
      </c>
      <c r="M38" s="39">
        <f>M39+M43+M45+M46</f>
        <v>1804128.5594499998</v>
      </c>
      <c r="N38" s="18">
        <f t="shared" si="3"/>
        <v>281064.64100000006</v>
      </c>
      <c r="O38" s="39">
        <f>O39+O43+O45+O46</f>
        <v>2085193.2004499999</v>
      </c>
      <c r="P38" s="39">
        <f>P39+P43+P45+P46</f>
        <v>1804128.5594499998</v>
      </c>
      <c r="Q38" s="18">
        <f t="shared" si="4"/>
        <v>281064.64100000006</v>
      </c>
      <c r="R38" s="19">
        <f t="shared" si="9"/>
        <v>0.81164680886051188</v>
      </c>
      <c r="S38" s="39">
        <f>S39+S43+S45+S46</f>
        <v>352985.88926999999</v>
      </c>
      <c r="T38" s="39">
        <f>T39+T43+T45+T46</f>
        <v>352985.88926999999</v>
      </c>
      <c r="U38" s="18">
        <f t="shared" si="5"/>
        <v>0</v>
      </c>
      <c r="V38" s="39">
        <f>V39+V43+V45+V46</f>
        <v>100796.3</v>
      </c>
      <c r="W38" s="39">
        <f>W39+W43+W45+W46</f>
        <v>100796.3</v>
      </c>
      <c r="X38" s="18">
        <f t="shared" si="6"/>
        <v>0</v>
      </c>
      <c r="Y38" s="39">
        <f>Y39+Y43+Y45+Y46</f>
        <v>2533136.62243</v>
      </c>
      <c r="Z38" s="39">
        <f>Z39+Z43+Z45+Z46</f>
        <v>2249435.0754300002</v>
      </c>
      <c r="AA38" s="18">
        <f t="shared" si="7"/>
        <v>283701.54699999979</v>
      </c>
      <c r="AB38" s="19">
        <f t="shared" si="8"/>
        <v>0.81926155660163702</v>
      </c>
    </row>
    <row r="39" spans="1:28" x14ac:dyDescent="0.25">
      <c r="A39" s="24" t="s">
        <v>18</v>
      </c>
      <c r="B39" s="25" t="s">
        <v>60</v>
      </c>
      <c r="C39" s="26">
        <f>C40+C41</f>
        <v>346289.34399999998</v>
      </c>
      <c r="D39" s="117"/>
      <c r="E39" s="18">
        <f>C39-D39</f>
        <v>346289.34399999998</v>
      </c>
      <c r="F39" s="26">
        <f>F40+F41+F42</f>
        <v>50000</v>
      </c>
      <c r="G39" s="117"/>
      <c r="H39" s="18">
        <f>F39-G39</f>
        <v>50000</v>
      </c>
      <c r="I39" s="26">
        <f>I40+I41+I42</f>
        <v>0</v>
      </c>
      <c r="J39" s="117"/>
      <c r="K39" s="18">
        <f>I39-J39</f>
        <v>0</v>
      </c>
      <c r="L39" s="26">
        <f>L40+L41+L42</f>
        <v>281064.641</v>
      </c>
      <c r="M39" s="117"/>
      <c r="N39" s="18">
        <f>L39-M39</f>
        <v>281064.641</v>
      </c>
      <c r="O39" s="26">
        <f>O40+O41+O42</f>
        <v>281064.641</v>
      </c>
      <c r="P39" s="117"/>
      <c r="Q39" s="18">
        <f>O39-P39</f>
        <v>281064.641</v>
      </c>
      <c r="R39" s="19">
        <f t="shared" si="9"/>
        <v>0.81164680886051177</v>
      </c>
      <c r="S39" s="26">
        <f>S40+S41+S42</f>
        <v>0</v>
      </c>
      <c r="T39" s="117"/>
      <c r="U39" s="18">
        <f>S39-T39</f>
        <v>0</v>
      </c>
      <c r="V39" s="26">
        <f>V40+V41+V42</f>
        <v>0</v>
      </c>
      <c r="W39" s="117"/>
      <c r="X39" s="18">
        <f>V39-W39</f>
        <v>0</v>
      </c>
      <c r="Y39" s="26">
        <f>Y40+Y41</f>
        <v>282505.94699999999</v>
      </c>
      <c r="Z39" s="117"/>
      <c r="AA39" s="18">
        <f>Y39-Z39</f>
        <v>282505.94699999999</v>
      </c>
      <c r="AB39" s="19">
        <f t="shared" si="8"/>
        <v>0.81580895252728303</v>
      </c>
    </row>
    <row r="40" spans="1:28" x14ac:dyDescent="0.25">
      <c r="A40" s="24"/>
      <c r="B40" s="25" t="s">
        <v>61</v>
      </c>
      <c r="C40" s="26">
        <v>255091.94899999999</v>
      </c>
      <c r="D40" s="117"/>
      <c r="E40" s="18">
        <f>C40-D40</f>
        <v>255091.94899999999</v>
      </c>
      <c r="F40" s="26">
        <v>45000</v>
      </c>
      <c r="G40" s="117"/>
      <c r="H40" s="18">
        <f>F40-G40</f>
        <v>45000</v>
      </c>
      <c r="I40" s="26">
        <f>45000-F40</f>
        <v>0</v>
      </c>
      <c r="J40" s="117"/>
      <c r="K40" s="18">
        <f t="shared" si="2"/>
        <v>0</v>
      </c>
      <c r="L40" s="26">
        <v>240840.44</v>
      </c>
      <c r="M40" s="117"/>
      <c r="N40" s="18">
        <f t="shared" si="3"/>
        <v>240840.44</v>
      </c>
      <c r="O40" s="26">
        <f>L40</f>
        <v>240840.44</v>
      </c>
      <c r="P40" s="117"/>
      <c r="Q40" s="18">
        <f t="shared" si="4"/>
        <v>240840.44</v>
      </c>
      <c r="R40" s="19">
        <f>Q40/E40</f>
        <v>0.94413187458142789</v>
      </c>
      <c r="S40" s="26">
        <v>0</v>
      </c>
      <c r="T40" s="117"/>
      <c r="U40" s="18">
        <f t="shared" si="5"/>
        <v>0</v>
      </c>
      <c r="V40" s="26">
        <v>0</v>
      </c>
      <c r="W40" s="117"/>
      <c r="X40" s="18">
        <f t="shared" si="6"/>
        <v>0</v>
      </c>
      <c r="Y40" s="26">
        <v>240840.44</v>
      </c>
      <c r="Z40" s="117"/>
      <c r="AA40" s="18">
        <f t="shared" si="7"/>
        <v>240840.44</v>
      </c>
      <c r="AB40" s="19">
        <f>AA40/E40</f>
        <v>0.94413187458142789</v>
      </c>
    </row>
    <row r="41" spans="1:28" x14ac:dyDescent="0.25">
      <c r="A41" s="24"/>
      <c r="B41" s="25" t="s">
        <v>62</v>
      </c>
      <c r="C41" s="26">
        <v>91197.395000000004</v>
      </c>
      <c r="D41" s="117"/>
      <c r="E41" s="18">
        <f t="shared" si="0"/>
        <v>91197.395000000004</v>
      </c>
      <c r="F41" s="26">
        <v>5000</v>
      </c>
      <c r="G41" s="117"/>
      <c r="H41" s="18">
        <f t="shared" si="1"/>
        <v>5000</v>
      </c>
      <c r="I41" s="26">
        <f>5000-F41</f>
        <v>0</v>
      </c>
      <c r="J41" s="117"/>
      <c r="K41" s="18">
        <f t="shared" si="2"/>
        <v>0</v>
      </c>
      <c r="L41" s="26">
        <v>40224.201000000001</v>
      </c>
      <c r="M41" s="117"/>
      <c r="N41" s="18">
        <f t="shared" si="3"/>
        <v>40224.201000000001</v>
      </c>
      <c r="O41" s="26">
        <f>L41</f>
        <v>40224.201000000001</v>
      </c>
      <c r="P41" s="117"/>
      <c r="Q41" s="18">
        <f t="shared" si="4"/>
        <v>40224.201000000001</v>
      </c>
      <c r="R41" s="19">
        <f t="shared" si="9"/>
        <v>0.44106743399852594</v>
      </c>
      <c r="S41" s="26">
        <v>0</v>
      </c>
      <c r="T41" s="117"/>
      <c r="U41" s="18">
        <f t="shared" si="5"/>
        <v>0</v>
      </c>
      <c r="V41" s="26">
        <v>0</v>
      </c>
      <c r="W41" s="117"/>
      <c r="X41" s="18">
        <f t="shared" si="6"/>
        <v>0</v>
      </c>
      <c r="Y41" s="26">
        <v>41665.506999999998</v>
      </c>
      <c r="Z41" s="117"/>
      <c r="AA41" s="18">
        <f t="shared" si="7"/>
        <v>41665.506999999998</v>
      </c>
      <c r="AB41" s="19">
        <f t="shared" si="8"/>
        <v>0.4568716792842602</v>
      </c>
    </row>
    <row r="42" spans="1:28" x14ac:dyDescent="0.25">
      <c r="A42" s="24"/>
      <c r="B42" s="25" t="s">
        <v>63</v>
      </c>
      <c r="C42" s="26"/>
      <c r="D42" s="117"/>
      <c r="E42" s="18">
        <f t="shared" si="0"/>
        <v>0</v>
      </c>
      <c r="F42" s="26"/>
      <c r="G42" s="117"/>
      <c r="H42" s="18">
        <f t="shared" si="1"/>
        <v>0</v>
      </c>
      <c r="I42" s="26"/>
      <c r="J42" s="117"/>
      <c r="K42" s="18">
        <f t="shared" si="2"/>
        <v>0</v>
      </c>
      <c r="L42" s="26"/>
      <c r="M42" s="117"/>
      <c r="N42" s="18">
        <f t="shared" si="3"/>
        <v>0</v>
      </c>
      <c r="O42" s="26"/>
      <c r="P42" s="117"/>
      <c r="Q42" s="18">
        <f t="shared" si="4"/>
        <v>0</v>
      </c>
      <c r="R42" s="19" t="e">
        <f t="shared" si="9"/>
        <v>#DIV/0!</v>
      </c>
      <c r="S42" s="26"/>
      <c r="T42" s="117"/>
      <c r="U42" s="18">
        <f t="shared" si="5"/>
        <v>0</v>
      </c>
      <c r="V42" s="26"/>
      <c r="W42" s="117"/>
      <c r="X42" s="18">
        <f t="shared" si="6"/>
        <v>0</v>
      </c>
      <c r="Y42" s="26"/>
      <c r="Z42" s="117"/>
      <c r="AA42" s="18">
        <f t="shared" si="7"/>
        <v>0</v>
      </c>
      <c r="AB42" s="19" t="e">
        <f t="shared" si="8"/>
        <v>#DIV/0!</v>
      </c>
    </row>
    <row r="43" spans="1:28" x14ac:dyDescent="0.25">
      <c r="A43" s="24" t="s">
        <v>20</v>
      </c>
      <c r="B43" s="25" t="s">
        <v>64</v>
      </c>
      <c r="C43" s="26">
        <v>641491.73563000001</v>
      </c>
      <c r="D43" s="117">
        <f>C43</f>
        <v>641491.73563000001</v>
      </c>
      <c r="E43" s="18">
        <f t="shared" si="0"/>
        <v>0</v>
      </c>
      <c r="F43" s="26">
        <f>135804.83997</f>
        <v>135804.83997</v>
      </c>
      <c r="G43" s="117">
        <f>F43</f>
        <v>135804.83997</v>
      </c>
      <c r="H43" s="18">
        <f t="shared" si="1"/>
        <v>0</v>
      </c>
      <c r="I43" s="26">
        <f>160784.67508-F43</f>
        <v>24979.835109999985</v>
      </c>
      <c r="J43" s="117">
        <f>I43</f>
        <v>24979.835109999985</v>
      </c>
      <c r="K43" s="18">
        <f t="shared" si="2"/>
        <v>0</v>
      </c>
      <c r="L43" s="26">
        <v>607345.67221999995</v>
      </c>
      <c r="M43" s="117">
        <f>L43</f>
        <v>607345.67221999995</v>
      </c>
      <c r="N43" s="18">
        <f t="shared" si="3"/>
        <v>0</v>
      </c>
      <c r="O43" s="26">
        <f>L43</f>
        <v>607345.67221999995</v>
      </c>
      <c r="P43" s="117">
        <f>O43</f>
        <v>607345.67221999995</v>
      </c>
      <c r="Q43" s="18">
        <f t="shared" si="4"/>
        <v>0</v>
      </c>
      <c r="R43" s="19" t="e">
        <f t="shared" si="9"/>
        <v>#DIV/0!</v>
      </c>
      <c r="S43" s="26">
        <v>120585.92577</v>
      </c>
      <c r="T43" s="117">
        <f>S43</f>
        <v>120585.92577</v>
      </c>
      <c r="U43" s="18">
        <f t="shared" si="5"/>
        <v>0</v>
      </c>
      <c r="V43" s="26">
        <v>21512.3</v>
      </c>
      <c r="W43" s="117">
        <f>V43</f>
        <v>21512.3</v>
      </c>
      <c r="X43" s="18">
        <f t="shared" si="6"/>
        <v>0</v>
      </c>
      <c r="Y43" s="26">
        <v>1033186.9882</v>
      </c>
      <c r="Z43" s="117">
        <f>Y43</f>
        <v>1033186.9882</v>
      </c>
      <c r="AA43" s="18">
        <f t="shared" si="7"/>
        <v>0</v>
      </c>
      <c r="AB43" s="19" t="e">
        <f t="shared" si="8"/>
        <v>#DIV/0!</v>
      </c>
    </row>
    <row r="44" spans="1:28" x14ac:dyDescent="0.25">
      <c r="A44" s="24"/>
      <c r="B44" s="25" t="s">
        <v>65</v>
      </c>
      <c r="C44" s="26">
        <v>157746.00096999999</v>
      </c>
      <c r="D44" s="117">
        <f t="shared" ref="D44:D47" si="25">C44</f>
        <v>157746.00096999999</v>
      </c>
      <c r="E44" s="18">
        <f t="shared" si="0"/>
        <v>0</v>
      </c>
      <c r="F44" s="26">
        <f>26715.98439</f>
        <v>26715.984390000001</v>
      </c>
      <c r="G44" s="117">
        <f t="shared" ref="G44:G47" si="26">F44</f>
        <v>26715.984390000001</v>
      </c>
      <c r="H44" s="18">
        <f t="shared" si="1"/>
        <v>0</v>
      </c>
      <c r="I44" s="26">
        <f>26715.98439-F44</f>
        <v>0</v>
      </c>
      <c r="J44" s="117">
        <f>I44</f>
        <v>0</v>
      </c>
      <c r="K44" s="18">
        <f t="shared" si="2"/>
        <v>0</v>
      </c>
      <c r="L44" s="26">
        <v>50741.683369999999</v>
      </c>
      <c r="M44" s="117">
        <f t="shared" ref="M44:M46" si="27">L44</f>
        <v>50741.683369999999</v>
      </c>
      <c r="N44" s="18">
        <f t="shared" si="3"/>
        <v>0</v>
      </c>
      <c r="O44" s="26">
        <f>L44</f>
        <v>50741.683369999999</v>
      </c>
      <c r="P44" s="117">
        <f t="shared" ref="P44:P46" si="28">O44</f>
        <v>50741.683369999999</v>
      </c>
      <c r="Q44" s="18">
        <f t="shared" si="4"/>
        <v>0</v>
      </c>
      <c r="R44" s="19" t="e">
        <f t="shared" si="9"/>
        <v>#DIV/0!</v>
      </c>
      <c r="S44" s="26">
        <v>24839.281070000001</v>
      </c>
      <c r="T44" s="117">
        <f>S44</f>
        <v>24839.281070000001</v>
      </c>
      <c r="U44" s="18">
        <f t="shared" si="5"/>
        <v>0</v>
      </c>
      <c r="V44" s="26">
        <v>0</v>
      </c>
      <c r="W44" s="117">
        <f>V44</f>
        <v>0</v>
      </c>
      <c r="X44" s="18">
        <f t="shared" si="6"/>
        <v>0</v>
      </c>
      <c r="Y44" s="26">
        <v>294175.42416</v>
      </c>
      <c r="Z44" s="117">
        <f t="shared" ref="Z44:Z47" si="29">Y44</f>
        <v>294175.42416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 t="s">
        <v>22</v>
      </c>
      <c r="B45" s="25" t="s">
        <v>66</v>
      </c>
      <c r="C45" s="26">
        <v>976179.08403000003</v>
      </c>
      <c r="D45" s="117">
        <f t="shared" si="25"/>
        <v>976179.08403000003</v>
      </c>
      <c r="E45" s="18">
        <f t="shared" si="0"/>
        <v>0</v>
      </c>
      <c r="F45" s="26">
        <f>188312.60147</f>
        <v>188312.60146999999</v>
      </c>
      <c r="G45" s="117">
        <f t="shared" si="26"/>
        <v>188312.60146999999</v>
      </c>
      <c r="H45" s="18">
        <f t="shared" si="1"/>
        <v>0</v>
      </c>
      <c r="I45" s="26">
        <f>258780.73113-F45</f>
        <v>70468.129660000006</v>
      </c>
      <c r="J45" s="117">
        <f>I45</f>
        <v>70468.129660000006</v>
      </c>
      <c r="K45" s="18">
        <f t="shared" si="2"/>
        <v>0</v>
      </c>
      <c r="L45" s="26">
        <v>1144499.0872299999</v>
      </c>
      <c r="M45" s="117">
        <f t="shared" si="27"/>
        <v>1144499.0872299999</v>
      </c>
      <c r="N45" s="18">
        <f t="shared" si="3"/>
        <v>0</v>
      </c>
      <c r="O45" s="26">
        <f>L45</f>
        <v>1144499.0872299999</v>
      </c>
      <c r="P45" s="117">
        <f t="shared" si="28"/>
        <v>1144499.0872299999</v>
      </c>
      <c r="Q45" s="18">
        <f t="shared" si="4"/>
        <v>0</v>
      </c>
      <c r="R45" s="19" t="e">
        <f t="shared" si="9"/>
        <v>#DIV/0!</v>
      </c>
      <c r="S45" s="26">
        <v>211508.1635</v>
      </c>
      <c r="T45" s="117">
        <f>S45</f>
        <v>211508.1635</v>
      </c>
      <c r="U45" s="18">
        <f t="shared" si="5"/>
        <v>0</v>
      </c>
      <c r="V45" s="26">
        <v>74412.600000000006</v>
      </c>
      <c r="W45" s="117">
        <f>V45</f>
        <v>74412.600000000006</v>
      </c>
      <c r="X45" s="18">
        <f t="shared" si="6"/>
        <v>0</v>
      </c>
      <c r="Y45" s="26">
        <v>1144499.0872299999</v>
      </c>
      <c r="Z45" s="117">
        <f t="shared" si="29"/>
        <v>1144499.0872299999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28</v>
      </c>
      <c r="B46" s="25" t="s">
        <v>67</v>
      </c>
      <c r="C46" s="26">
        <v>50424.524460000001</v>
      </c>
      <c r="D46" s="117">
        <f t="shared" si="25"/>
        <v>50424.524460000001</v>
      </c>
      <c r="E46" s="18">
        <f t="shared" si="0"/>
        <v>0</v>
      </c>
      <c r="F46" s="26">
        <f>9260.42747</f>
        <v>9260.4274700000005</v>
      </c>
      <c r="G46" s="117">
        <f t="shared" si="26"/>
        <v>9260.4274700000005</v>
      </c>
      <c r="H46" s="18">
        <f t="shared" si="1"/>
        <v>0</v>
      </c>
      <c r="I46" s="26">
        <f>16836.2-F46</f>
        <v>7575.7725300000002</v>
      </c>
      <c r="J46" s="117">
        <f>I46</f>
        <v>7575.7725300000002</v>
      </c>
      <c r="K46" s="18">
        <f t="shared" si="2"/>
        <v>0</v>
      </c>
      <c r="L46" s="26">
        <v>52283.8</v>
      </c>
      <c r="M46" s="117">
        <f t="shared" si="27"/>
        <v>52283.8</v>
      </c>
      <c r="N46" s="18">
        <f t="shared" si="3"/>
        <v>0</v>
      </c>
      <c r="O46" s="26">
        <f>L46</f>
        <v>52283.8</v>
      </c>
      <c r="P46" s="117">
        <f t="shared" si="28"/>
        <v>52283.8</v>
      </c>
      <c r="Q46" s="18">
        <f t="shared" si="4"/>
        <v>0</v>
      </c>
      <c r="R46" s="19" t="e">
        <f t="shared" si="9"/>
        <v>#DIV/0!</v>
      </c>
      <c r="S46" s="26">
        <v>20891.8</v>
      </c>
      <c r="T46" s="117">
        <f>S46</f>
        <v>20891.8</v>
      </c>
      <c r="U46" s="18">
        <f t="shared" si="5"/>
        <v>0</v>
      </c>
      <c r="V46" s="26">
        <v>4871.3999999999996</v>
      </c>
      <c r="W46" s="117">
        <f>V46</f>
        <v>4871.3999999999996</v>
      </c>
      <c r="X46" s="18">
        <f t="shared" si="6"/>
        <v>0</v>
      </c>
      <c r="Y46" s="26">
        <v>72944.600000000006</v>
      </c>
      <c r="Z46" s="117">
        <f>Y46-1195.6</f>
        <v>71749</v>
      </c>
      <c r="AA46" s="18">
        <f t="shared" si="7"/>
        <v>1195.6000000000058</v>
      </c>
      <c r="AB46" s="19" t="e">
        <f t="shared" si="8"/>
        <v>#DIV/0!</v>
      </c>
    </row>
    <row r="47" spans="1:28" x14ac:dyDescent="0.25">
      <c r="A47" s="24" t="s">
        <v>68</v>
      </c>
      <c r="B47" s="25" t="s">
        <v>69</v>
      </c>
      <c r="C47" s="26">
        <v>31522.46</v>
      </c>
      <c r="D47" s="117">
        <f t="shared" si="25"/>
        <v>31522.46</v>
      </c>
      <c r="E47" s="18">
        <f>C47-D47</f>
        <v>0</v>
      </c>
      <c r="F47" s="26"/>
      <c r="G47" s="117">
        <f t="shared" si="26"/>
        <v>0</v>
      </c>
      <c r="H47" s="18">
        <f t="shared" si="1"/>
        <v>0</v>
      </c>
      <c r="I47" s="26"/>
      <c r="J47" s="26"/>
      <c r="K47" s="18">
        <f t="shared" si="2"/>
        <v>0</v>
      </c>
      <c r="L47" s="26"/>
      <c r="M47" s="26"/>
      <c r="N47" s="18">
        <f t="shared" si="3"/>
        <v>0</v>
      </c>
      <c r="O47" s="26"/>
      <c r="P47" s="26"/>
      <c r="Q47" s="18">
        <f t="shared" si="4"/>
        <v>0</v>
      </c>
      <c r="R47" s="19" t="e">
        <f t="shared" si="9"/>
        <v>#DIV/0!</v>
      </c>
      <c r="S47" s="26"/>
      <c r="T47" s="26"/>
      <c r="U47" s="18">
        <f t="shared" si="5"/>
        <v>0</v>
      </c>
      <c r="V47" s="26"/>
      <c r="W47" s="26"/>
      <c r="X47" s="18">
        <f t="shared" si="6"/>
        <v>0</v>
      </c>
      <c r="Y47" s="26">
        <v>526</v>
      </c>
      <c r="Z47" s="117">
        <f t="shared" si="29"/>
        <v>526</v>
      </c>
      <c r="AA47" s="18">
        <f t="shared" si="7"/>
        <v>0</v>
      </c>
      <c r="AB47" s="19" t="e">
        <f t="shared" si="8"/>
        <v>#DIV/0!</v>
      </c>
    </row>
    <row r="48" spans="1:28" ht="51.75" x14ac:dyDescent="0.25">
      <c r="A48" s="24" t="s">
        <v>70</v>
      </c>
      <c r="B48" s="25" t="s">
        <v>71</v>
      </c>
      <c r="C48" s="26">
        <v>14464.607900000001</v>
      </c>
      <c r="D48" s="117">
        <v>2344.1892699999999</v>
      </c>
      <c r="E48" s="18">
        <f>C48-D48</f>
        <v>12120.41863</v>
      </c>
      <c r="F48" s="26">
        <f>1134.12836+133.36119</f>
        <v>1267.48955</v>
      </c>
      <c r="G48" s="117">
        <f>19.83663</f>
        <v>19.83663</v>
      </c>
      <c r="H48" s="18">
        <f t="shared" si="1"/>
        <v>1247.65292</v>
      </c>
      <c r="I48" s="26">
        <f>1134.12836+133.36119-F48</f>
        <v>0</v>
      </c>
      <c r="J48" s="26">
        <f>19.83663-G48</f>
        <v>0</v>
      </c>
      <c r="K48" s="18">
        <f t="shared" si="2"/>
        <v>0</v>
      </c>
      <c r="L48" s="26">
        <v>0</v>
      </c>
      <c r="M48" s="26"/>
      <c r="N48" s="18">
        <f t="shared" si="3"/>
        <v>0</v>
      </c>
      <c r="O48" s="26"/>
      <c r="P48" s="26"/>
      <c r="Q48" s="18">
        <f t="shared" si="4"/>
        <v>0</v>
      </c>
      <c r="R48" s="19">
        <f t="shared" si="9"/>
        <v>0</v>
      </c>
      <c r="S48" s="26">
        <f>2443.81595+5420.50186+112.43254</f>
        <v>7976.7503500000003</v>
      </c>
      <c r="T48" s="26">
        <v>2298.1893599999999</v>
      </c>
      <c r="U48" s="18">
        <f t="shared" si="5"/>
        <v>5678.5609899999999</v>
      </c>
      <c r="V48" s="26"/>
      <c r="W48" s="26"/>
      <c r="X48" s="18">
        <f t="shared" si="6"/>
        <v>0</v>
      </c>
      <c r="Y48" s="26">
        <f>S48</f>
        <v>7976.7503500000003</v>
      </c>
      <c r="Z48" s="26">
        <f>T48</f>
        <v>2298.1893599999999</v>
      </c>
      <c r="AA48" s="18">
        <f t="shared" si="7"/>
        <v>5678.5609899999999</v>
      </c>
      <c r="AB48" s="19">
        <f t="shared" si="8"/>
        <v>0.46851195188461903</v>
      </c>
    </row>
    <row r="49" spans="1:28" ht="39" x14ac:dyDescent="0.25">
      <c r="A49" s="24" t="s">
        <v>72</v>
      </c>
      <c r="B49" s="25" t="s">
        <v>73</v>
      </c>
      <c r="C49" s="26">
        <v>-4340.56232</v>
      </c>
      <c r="D49" s="117">
        <f t="shared" ref="D49" si="30">C49</f>
        <v>-4340.56232</v>
      </c>
      <c r="E49" s="18">
        <f t="shared" si="0"/>
        <v>0</v>
      </c>
      <c r="F49" s="26">
        <f>-424.98838</f>
        <v>-424.98838000000001</v>
      </c>
      <c r="G49" s="117">
        <f>-424.98838</f>
        <v>-424.98838000000001</v>
      </c>
      <c r="H49" s="18">
        <f t="shared" si="1"/>
        <v>0</v>
      </c>
      <c r="I49" s="26">
        <f>-424.98838-F49</f>
        <v>0</v>
      </c>
      <c r="J49" s="26">
        <f>-428.85288-G49</f>
        <v>-3.8645000000000209</v>
      </c>
      <c r="K49" s="18">
        <f t="shared" si="2"/>
        <v>3.8645000000000209</v>
      </c>
      <c r="L49" s="26">
        <v>0</v>
      </c>
      <c r="M49" s="26"/>
      <c r="N49" s="18">
        <f t="shared" si="3"/>
        <v>0</v>
      </c>
      <c r="O49" s="26"/>
      <c r="P49" s="26"/>
      <c r="Q49" s="18">
        <f t="shared" si="4"/>
        <v>0</v>
      </c>
      <c r="R49" s="19" t="e">
        <f t="shared" si="9"/>
        <v>#DIV/0!</v>
      </c>
      <c r="S49" s="26">
        <f>-2299.99113</f>
        <v>-2299.9911299999999</v>
      </c>
      <c r="T49" s="26">
        <v>-2299.9911299999999</v>
      </c>
      <c r="U49" s="18">
        <f t="shared" si="5"/>
        <v>0</v>
      </c>
      <c r="V49" s="26"/>
      <c r="W49" s="26"/>
      <c r="X49" s="18">
        <f t="shared" si="6"/>
        <v>0</v>
      </c>
      <c r="Y49" s="26">
        <f>S49</f>
        <v>-2299.9911299999999</v>
      </c>
      <c r="Z49" s="26">
        <f>Y49</f>
        <v>-2299.9911299999999</v>
      </c>
      <c r="AA49" s="18">
        <f t="shared" si="7"/>
        <v>0</v>
      </c>
      <c r="AB49" s="19" t="e">
        <f t="shared" si="8"/>
        <v>#DIV/0!</v>
      </c>
    </row>
    <row r="50" spans="1:28" x14ac:dyDescent="0.25">
      <c r="A50" s="40"/>
      <c r="B50" s="41" t="s">
        <v>74</v>
      </c>
      <c r="C50" s="18">
        <f>C6</f>
        <v>3194061.4070100002</v>
      </c>
      <c r="D50" s="18">
        <f>D6</f>
        <v>1699506.54746</v>
      </c>
      <c r="E50" s="18">
        <f>E6</f>
        <v>1494554.8595500002</v>
      </c>
      <c r="F50" s="18">
        <f>F6</f>
        <v>577996.04152999993</v>
      </c>
      <c r="G50" s="18">
        <f t="shared" ref="G50:H50" si="31">G6</f>
        <v>333204.14682999993</v>
      </c>
      <c r="H50" s="18">
        <f t="shared" si="31"/>
        <v>244791.8947</v>
      </c>
      <c r="I50" s="18">
        <f>I6</f>
        <v>222172.11239999998</v>
      </c>
      <c r="J50" s="18">
        <f t="shared" ref="J50:K50" si="32">J6</f>
        <v>103035.89861</v>
      </c>
      <c r="K50" s="18">
        <f t="shared" si="32"/>
        <v>119136.21378999998</v>
      </c>
      <c r="L50" s="18">
        <f>L6</f>
        <v>3224206.2004499999</v>
      </c>
      <c r="M50" s="18">
        <f t="shared" ref="M50:N50" si="33">M6</f>
        <v>1804128.5594499998</v>
      </c>
      <c r="N50" s="18">
        <f t="shared" si="33"/>
        <v>1420077.6410000001</v>
      </c>
      <c r="O50" s="18">
        <f>O6</f>
        <v>3224206.2004499999</v>
      </c>
      <c r="P50" s="18">
        <f t="shared" ref="P50:Q50" si="34">P6</f>
        <v>1804128.5594499998</v>
      </c>
      <c r="Q50" s="18">
        <f t="shared" si="34"/>
        <v>1420077.6410000001</v>
      </c>
      <c r="R50" s="19">
        <f t="shared" si="9"/>
        <v>0.9501676247786417</v>
      </c>
      <c r="S50" s="18">
        <f>S6</f>
        <v>587685.17943999998</v>
      </c>
      <c r="T50" s="18">
        <f t="shared" ref="T50:U50" si="35">T6</f>
        <v>353820.63527000003</v>
      </c>
      <c r="U50" s="18">
        <f t="shared" si="35"/>
        <v>233864.54416999995</v>
      </c>
      <c r="V50" s="18">
        <f>V6</f>
        <v>227031.57129400002</v>
      </c>
      <c r="W50" s="18">
        <f t="shared" ref="W50:X50" si="36">W6</f>
        <v>100796.3</v>
      </c>
      <c r="X50" s="18">
        <f t="shared" si="36"/>
        <v>126235.27129400002</v>
      </c>
      <c r="Y50" s="18">
        <f>Y6</f>
        <v>3679334.3816499999</v>
      </c>
      <c r="Z50" s="18">
        <f t="shared" ref="Z50:AA50" si="37">Z6</f>
        <v>2250795.8214300005</v>
      </c>
      <c r="AA50" s="18">
        <f t="shared" si="37"/>
        <v>1428538.5602199994</v>
      </c>
      <c r="AB50" s="19">
        <f t="shared" si="8"/>
        <v>0.95582878814506833</v>
      </c>
    </row>
    <row r="51" spans="1:28" x14ac:dyDescent="0.25">
      <c r="A51" s="42" t="s">
        <v>75</v>
      </c>
      <c r="B51" s="43" t="s">
        <v>76</v>
      </c>
      <c r="C51" s="44">
        <f>C52+C86</f>
        <v>3156519.8926999997</v>
      </c>
      <c r="D51" s="44">
        <f>D52+D86</f>
        <v>1705867.6670299999</v>
      </c>
      <c r="E51" s="45">
        <f>C51-D51</f>
        <v>1450652.2256699998</v>
      </c>
      <c r="F51" s="44">
        <f>F52+F86</f>
        <v>565799.45546000008</v>
      </c>
      <c r="G51" s="44">
        <f>G52+G86</f>
        <v>337121.91876999999</v>
      </c>
      <c r="H51" s="45">
        <f>F51-G51</f>
        <v>228677.5366900001</v>
      </c>
      <c r="I51" s="44">
        <f>I52+I86</f>
        <v>191606.39696999994</v>
      </c>
      <c r="J51" s="44">
        <f>J52+J86</f>
        <v>79115.922490000026</v>
      </c>
      <c r="K51" s="45">
        <f>I51-J51</f>
        <v>112490.47447999992</v>
      </c>
      <c r="L51" s="44">
        <f>L52+L86</f>
        <v>3360107.6049800003</v>
      </c>
      <c r="M51" s="44">
        <f>M52+M86</f>
        <v>1804128.5594500001</v>
      </c>
      <c r="N51" s="45">
        <f>L51-M51</f>
        <v>1555979.0455300002</v>
      </c>
      <c r="O51" s="44">
        <f>O52+O86</f>
        <v>3646906.8813700001</v>
      </c>
      <c r="P51" s="44">
        <f>P52+P86</f>
        <v>2090927.8358400001</v>
      </c>
      <c r="Q51" s="45">
        <f>O51-P51</f>
        <v>1555979.04553</v>
      </c>
      <c r="R51" s="46">
        <f>Q51/E51</f>
        <v>1.0726065269098897</v>
      </c>
      <c r="S51" s="44">
        <f>S52+S86</f>
        <v>575204.65350999997</v>
      </c>
      <c r="T51" s="44">
        <f>T52+T86</f>
        <v>343180.60852000001</v>
      </c>
      <c r="U51" s="45">
        <f>S51-T51</f>
        <v>232024.04498999997</v>
      </c>
      <c r="V51" s="44">
        <f>V52+V86</f>
        <v>240430.47615999999</v>
      </c>
      <c r="W51" s="44">
        <f>W52+W86</f>
        <v>101350.34999999999</v>
      </c>
      <c r="X51" s="45">
        <f>V51-W51</f>
        <v>139080.12615999999</v>
      </c>
      <c r="Y51" s="44">
        <f>Y52+Y86</f>
        <v>3869246.1183099998</v>
      </c>
      <c r="Z51" s="44">
        <f>Z52+Z86</f>
        <v>2252070.5754300002</v>
      </c>
      <c r="AA51" s="45">
        <f>Y51-Z51</f>
        <v>1617175.5428799996</v>
      </c>
      <c r="AB51" s="46">
        <f t="shared" si="8"/>
        <v>1.1147920323446849</v>
      </c>
    </row>
    <row r="52" spans="1:28" x14ac:dyDescent="0.25">
      <c r="A52" s="47">
        <v>1</v>
      </c>
      <c r="B52" s="48" t="s">
        <v>77</v>
      </c>
      <c r="C52" s="49">
        <f>C53+C57+C62+C63+C64+C65+C79+C80</f>
        <v>2869715.2678899998</v>
      </c>
      <c r="D52" s="49">
        <f>D53+D57+D62+D63+D64+D65+D79+D80</f>
        <v>1614683.5628099998</v>
      </c>
      <c r="E52" s="39">
        <f>C52-D52</f>
        <v>1255031.70508</v>
      </c>
      <c r="F52" s="49">
        <f>F53+F57+F62+F63+F64+F65+F79+F80</f>
        <v>538209.42567000003</v>
      </c>
      <c r="G52" s="49">
        <f>G53+G57+G62+G63+G64+G65+G79+G80</f>
        <v>331005.94186999998</v>
      </c>
      <c r="H52" s="39">
        <f>F52-G52</f>
        <v>207203.48380000005</v>
      </c>
      <c r="I52" s="49">
        <f>I53+I57+I62+I63+I64+I65+I79+I80</f>
        <v>183287.01139999993</v>
      </c>
      <c r="J52" s="49">
        <f>J53+J57+J62+J63+J64+J65+J79+J80</f>
        <v>78908.237490000029</v>
      </c>
      <c r="K52" s="39">
        <f>I52-J52</f>
        <v>104378.7739099999</v>
      </c>
      <c r="L52" s="49">
        <f>L53+L57+L62+L63+L64+L65+L79+L80</f>
        <v>3080662.1897800001</v>
      </c>
      <c r="M52" s="49">
        <f>M53+M57+M62+M63+M64+M65+M79+M80</f>
        <v>1760364.1242500001</v>
      </c>
      <c r="N52" s="39">
        <f>L52-M52</f>
        <v>1320298.06553</v>
      </c>
      <c r="O52" s="49">
        <f>O53+O57+O62+O63+O64+O65+O79+O80</f>
        <v>3328516.1004699999</v>
      </c>
      <c r="P52" s="49">
        <f>P53+P57+P62+P63+P64+P65+P79+P80</f>
        <v>2008218.0349400002</v>
      </c>
      <c r="Q52" s="39">
        <f>O52-P52</f>
        <v>1320298.0655299998</v>
      </c>
      <c r="R52" s="50">
        <f>Q52/E52</f>
        <v>1.0520037543161824</v>
      </c>
      <c r="S52" s="49">
        <f>S53+S57+S62+S63+S64+S65+S79+S80</f>
        <v>549568.86980999995</v>
      </c>
      <c r="T52" s="49">
        <f>T53+T57+T62+T63+T64+T65+T79+T80</f>
        <v>342791.04452</v>
      </c>
      <c r="U52" s="39">
        <f>S52-T52</f>
        <v>206777.82528999995</v>
      </c>
      <c r="V52" s="49">
        <f>V53+V57+V62+V63+V64+V65+V79+V80</f>
        <v>229884.57616</v>
      </c>
      <c r="W52" s="49">
        <f>W53+W57+W62+W63+W64+W65+W79+W80</f>
        <v>101305.4</v>
      </c>
      <c r="X52" s="39">
        <f>V52-W52</f>
        <v>128579.17616</v>
      </c>
      <c r="Y52" s="49">
        <f>Y53+Y57+Y62+Y63+Y64+Y65+Y79+Y80</f>
        <v>3538160.7973399996</v>
      </c>
      <c r="Z52" s="49">
        <f>Z53+Z57+Z62+Z63+Z64+Z65+Z79+Z80</f>
        <v>2169145.7745300001</v>
      </c>
      <c r="AA52" s="39">
        <f>Y52-Z52</f>
        <v>1369015.0228099995</v>
      </c>
      <c r="AB52" s="50">
        <f t="shared" si="8"/>
        <v>1.0908210663273514</v>
      </c>
    </row>
    <row r="53" spans="1:28" ht="38.25" x14ac:dyDescent="0.25">
      <c r="A53" s="51" t="s">
        <v>13</v>
      </c>
      <c r="B53" s="32" t="s">
        <v>78</v>
      </c>
      <c r="C53" s="26">
        <f>C55+C56+3187.19324+2441.19454</f>
        <v>182664.83678999997</v>
      </c>
      <c r="D53" s="26">
        <f>D55+D56+435.66146</f>
        <v>16980.25836</v>
      </c>
      <c r="E53" s="39">
        <f t="shared" si="0"/>
        <v>165684.57842999997</v>
      </c>
      <c r="F53" s="26">
        <f>22911.08981+61.6816+1136.759+5725.4351</f>
        <v>29834.965509999998</v>
      </c>
      <c r="G53" s="26">
        <f>2748.66394</f>
        <v>2748.6639399999999</v>
      </c>
      <c r="H53" s="39">
        <f t="shared" ref="H53:H104" si="38">F53-G53</f>
        <v>27086.30157</v>
      </c>
      <c r="I53" s="26">
        <f>33979.35389+129.04997+1360.772+8505.21252-F53</f>
        <v>14139.422869999999</v>
      </c>
      <c r="J53" s="26">
        <f>3400.28829+832.10114-G53</f>
        <v>1483.7254900000003</v>
      </c>
      <c r="K53" s="39">
        <f t="shared" ref="K53:K104" si="39">I53-J53</f>
        <v>12655.697379999998</v>
      </c>
      <c r="L53" s="26">
        <v>187886.59349999999</v>
      </c>
      <c r="M53" s="26">
        <v>18078.730500000001</v>
      </c>
      <c r="N53" s="39">
        <f t="shared" ref="N53:N104" si="40">L53-M53</f>
        <v>169807.86299999998</v>
      </c>
      <c r="O53" s="26">
        <f>O55+O56+2729.60448+1250</f>
        <v>187119.00707999998</v>
      </c>
      <c r="P53" s="26">
        <f>P55+P56+375.4</f>
        <v>18078.730500000001</v>
      </c>
      <c r="Q53" s="39">
        <f t="shared" ref="Q53:Q104" si="41">O53-P53</f>
        <v>169040.27657999998</v>
      </c>
      <c r="R53" s="50">
        <f>Q53/E53</f>
        <v>1.020253533441664</v>
      </c>
      <c r="S53" s="26">
        <f>S55+S56+224.73965+859.87044</f>
        <v>34278.330820000003</v>
      </c>
      <c r="T53" s="26">
        <f>T55+T56</f>
        <v>2806.5191300000001</v>
      </c>
      <c r="U53" s="39">
        <f t="shared" ref="U53:U104" si="42">S53-T53</f>
        <v>31471.811690000002</v>
      </c>
      <c r="V53" s="26">
        <f>V55+V56+114.2</f>
        <v>16274</v>
      </c>
      <c r="W53" s="26">
        <f>W55+W56</f>
        <v>1055</v>
      </c>
      <c r="X53" s="39">
        <f t="shared" ref="X53:X104" si="43">V53-W53</f>
        <v>15219</v>
      </c>
      <c r="Y53" s="26">
        <f>Y55+Y56+1250+3145.55065</f>
        <v>212224.55324999997</v>
      </c>
      <c r="Z53" s="26">
        <f>Z55+Z56+375.4</f>
        <v>18078.730500000001</v>
      </c>
      <c r="AA53" s="39">
        <f t="shared" ref="AA53:AA104" si="44">Y53-Z53</f>
        <v>194145.82274999996</v>
      </c>
      <c r="AB53" s="50">
        <f t="shared" si="8"/>
        <v>1.1717796827543885</v>
      </c>
    </row>
    <row r="54" spans="1:28" x14ac:dyDescent="0.25">
      <c r="A54" s="51"/>
      <c r="B54" s="32" t="s">
        <v>17</v>
      </c>
      <c r="C54" s="26"/>
      <c r="D54" s="26"/>
      <c r="E54" s="39"/>
      <c r="F54" s="26"/>
      <c r="G54" s="26"/>
      <c r="H54" s="39"/>
      <c r="I54" s="26"/>
      <c r="J54" s="26"/>
      <c r="K54" s="39"/>
      <c r="L54" s="26"/>
      <c r="M54" s="26"/>
      <c r="N54" s="39"/>
      <c r="O54" s="26"/>
      <c r="P54" s="26"/>
      <c r="Q54" s="39"/>
      <c r="R54" s="50"/>
      <c r="S54" s="26"/>
      <c r="T54" s="26"/>
      <c r="U54" s="39"/>
      <c r="V54" s="26"/>
      <c r="W54" s="26"/>
      <c r="X54" s="39"/>
      <c r="Y54" s="26"/>
      <c r="Z54" s="26"/>
      <c r="AA54" s="39"/>
      <c r="AB54" s="50"/>
    </row>
    <row r="55" spans="1:28" ht="25.5" x14ac:dyDescent="0.25">
      <c r="A55" s="51"/>
      <c r="B55" s="32" t="s">
        <v>79</v>
      </c>
      <c r="C55" s="26">
        <f>137137.99289</f>
        <v>137137.99288999999</v>
      </c>
      <c r="D55" s="26">
        <v>12747.755160000001</v>
      </c>
      <c r="E55" s="39">
        <f t="shared" si="0"/>
        <v>124390.23772999999</v>
      </c>
      <c r="F55" s="26">
        <f>22911.08981</f>
        <v>22911.089810000001</v>
      </c>
      <c r="G55" s="26">
        <f>2198.24686</f>
        <v>2198.2468600000002</v>
      </c>
      <c r="H55" s="39">
        <f t="shared" si="38"/>
        <v>20712.842950000002</v>
      </c>
      <c r="I55" s="26">
        <f>33979.35389-F55</f>
        <v>11068.264079999997</v>
      </c>
      <c r="J55" s="26">
        <f>3400.28829-G55</f>
        <v>1202.0414299999998</v>
      </c>
      <c r="K55" s="39">
        <f t="shared" si="39"/>
        <v>9866.2226499999979</v>
      </c>
      <c r="L55" s="26">
        <v>140394.99731000001</v>
      </c>
      <c r="M55" s="26">
        <v>13598.62731</v>
      </c>
      <c r="N55" s="39">
        <f t="shared" si="40"/>
        <v>126796.37000000001</v>
      </c>
      <c r="O55" s="26">
        <v>140755.83377999999</v>
      </c>
      <c r="P55" s="26">
        <v>13598.62731</v>
      </c>
      <c r="Q55" s="39">
        <f t="shared" si="41"/>
        <v>127157.20646999999</v>
      </c>
      <c r="R55" s="50">
        <f t="shared" ref="R55:R78" si="45">Q55/E55</f>
        <v>1.0222442596018342</v>
      </c>
      <c r="S55" s="26">
        <v>26813.5762</v>
      </c>
      <c r="T55" s="26">
        <v>2276.0356400000001</v>
      </c>
      <c r="U55" s="39">
        <f t="shared" si="42"/>
        <v>24537.540560000001</v>
      </c>
      <c r="V55" s="26">
        <v>12411.5</v>
      </c>
      <c r="W55" s="26">
        <v>810.3</v>
      </c>
      <c r="X55" s="39">
        <f t="shared" si="43"/>
        <v>11601.2</v>
      </c>
      <c r="Y55" s="26">
        <v>159648.08377999999</v>
      </c>
      <c r="Z55" s="26">
        <f>13598.62731</f>
        <v>13598.62731</v>
      </c>
      <c r="AA55" s="39">
        <f t="shared" si="44"/>
        <v>146049.45646999998</v>
      </c>
      <c r="AB55" s="50">
        <f t="shared" si="8"/>
        <v>1.174123139687322</v>
      </c>
    </row>
    <row r="56" spans="1:28" ht="25.5" x14ac:dyDescent="0.25">
      <c r="A56" s="51"/>
      <c r="B56" s="32" t="s">
        <v>80</v>
      </c>
      <c r="C56" s="26">
        <f>39898.45612</f>
        <v>39898.456120000003</v>
      </c>
      <c r="D56" s="26">
        <v>3796.8417399999998</v>
      </c>
      <c r="E56" s="39">
        <f t="shared" si="0"/>
        <v>36101.614379999999</v>
      </c>
      <c r="F56" s="26">
        <f>5725.4351</f>
        <v>5725.4350999999997</v>
      </c>
      <c r="G56" s="26">
        <f>550.41708</f>
        <v>550.41708000000006</v>
      </c>
      <c r="H56" s="39">
        <f t="shared" si="38"/>
        <v>5175.0180199999995</v>
      </c>
      <c r="I56" s="26">
        <f>8505.21252-F56</f>
        <v>2779.7774199999994</v>
      </c>
      <c r="J56" s="26">
        <f>832.10114-G56</f>
        <v>281.68405999999993</v>
      </c>
      <c r="K56" s="39">
        <f t="shared" si="39"/>
        <v>2498.0933599999994</v>
      </c>
      <c r="L56" s="26">
        <v>42274.596189999997</v>
      </c>
      <c r="M56" s="26">
        <v>4104.7031900000002</v>
      </c>
      <c r="N56" s="39">
        <f t="shared" si="40"/>
        <v>38169.892999999996</v>
      </c>
      <c r="O56" s="26">
        <v>42383.56882</v>
      </c>
      <c r="P56" s="26">
        <v>4104.7031900000002</v>
      </c>
      <c r="Q56" s="39">
        <f t="shared" si="41"/>
        <v>38278.86563</v>
      </c>
      <c r="R56" s="50">
        <f t="shared" si="45"/>
        <v>1.0603089719778898</v>
      </c>
      <c r="S56" s="26">
        <v>6380.1445299999996</v>
      </c>
      <c r="T56" s="26">
        <v>530.48348999999996</v>
      </c>
      <c r="U56" s="39">
        <f t="shared" si="42"/>
        <v>5849.66104</v>
      </c>
      <c r="V56" s="26">
        <v>3748.3</v>
      </c>
      <c r="W56" s="26">
        <v>244.7</v>
      </c>
      <c r="X56" s="39">
        <f t="shared" si="43"/>
        <v>3503.6000000000004</v>
      </c>
      <c r="Y56" s="26">
        <v>48180.918819999999</v>
      </c>
      <c r="Z56" s="26">
        <f>4104.70319</f>
        <v>4104.7031900000002</v>
      </c>
      <c r="AA56" s="39">
        <f t="shared" si="44"/>
        <v>44076.215629999999</v>
      </c>
      <c r="AB56" s="50">
        <f t="shared" si="8"/>
        <v>1.2208932034468205</v>
      </c>
    </row>
    <row r="57" spans="1:28" ht="25.5" x14ac:dyDescent="0.25">
      <c r="A57" s="51" t="s">
        <v>56</v>
      </c>
      <c r="B57" s="32" t="s">
        <v>81</v>
      </c>
      <c r="C57" s="26">
        <f>374045.02821-C91</f>
        <v>172598.35841000004</v>
      </c>
      <c r="D57" s="26">
        <f>138860.74724-D91</f>
        <v>47676.643020000003</v>
      </c>
      <c r="E57" s="39">
        <f t="shared" si="0"/>
        <v>124921.71539000004</v>
      </c>
      <c r="F57" s="26">
        <f>64226.6696</f>
        <v>64226.669600000001</v>
      </c>
      <c r="G57" s="26">
        <f>31455.73841</f>
        <v>31455.738410000002</v>
      </c>
      <c r="H57" s="39">
        <f t="shared" si="38"/>
        <v>32770.931190000003</v>
      </c>
      <c r="I57" s="26">
        <f>73747.42857-F57</f>
        <v>9520.7589700000026</v>
      </c>
      <c r="J57" s="26">
        <f>32128.89326-G57</f>
        <v>673.15484999999899</v>
      </c>
      <c r="K57" s="39">
        <f t="shared" si="39"/>
        <v>8847.6041200000036</v>
      </c>
      <c r="L57" s="26">
        <v>243772.56372999999</v>
      </c>
      <c r="M57" s="26">
        <v>42480.997530000001</v>
      </c>
      <c r="N57" s="39">
        <f t="shared" si="40"/>
        <v>201291.5662</v>
      </c>
      <c r="O57" s="26">
        <f>611673.27993-O91</f>
        <v>385313.44502999994</v>
      </c>
      <c r="P57" s="26">
        <f>266172.09533-P91</f>
        <v>183462.29442999998</v>
      </c>
      <c r="Q57" s="39">
        <f t="shared" si="41"/>
        <v>201851.15059999996</v>
      </c>
      <c r="R57" s="50">
        <f t="shared" si="45"/>
        <v>1.6158211562323623</v>
      </c>
      <c r="S57" s="26">
        <f>24302.95829-S91</f>
        <v>16438.966819999998</v>
      </c>
      <c r="T57" s="26">
        <f>1737.83072-T91</f>
        <v>1348.2667199999999</v>
      </c>
      <c r="U57" s="39">
        <f t="shared" si="42"/>
        <v>15090.700099999998</v>
      </c>
      <c r="V57" s="26">
        <f>4987.2+731.55763+7448.26664+201.9+13.8</f>
        <v>13382.724269999999</v>
      </c>
      <c r="W57" s="26">
        <f>412.9+7075.85331</f>
        <v>7488.7533100000001</v>
      </c>
      <c r="X57" s="39">
        <f t="shared" si="43"/>
        <v>5893.9709599999987</v>
      </c>
      <c r="Y57" s="26">
        <v>386981.05485999997</v>
      </c>
      <c r="Z57" s="26">
        <v>170131.12807999999</v>
      </c>
      <c r="AA57" s="39">
        <f t="shared" si="44"/>
        <v>216849.92677999998</v>
      </c>
      <c r="AB57" s="50">
        <f t="shared" si="8"/>
        <v>1.7358865598587416</v>
      </c>
    </row>
    <row r="58" spans="1:28" x14ac:dyDescent="0.25">
      <c r="A58" s="52"/>
      <c r="B58" s="53" t="s">
        <v>7</v>
      </c>
      <c r="C58" s="35"/>
      <c r="D58" s="35"/>
      <c r="E58" s="54"/>
      <c r="F58" s="35"/>
      <c r="G58" s="35"/>
      <c r="H58" s="54"/>
      <c r="I58" s="35"/>
      <c r="J58" s="35"/>
      <c r="K58" s="54"/>
      <c r="L58" s="35"/>
      <c r="M58" s="35"/>
      <c r="N58" s="54"/>
      <c r="O58" s="35"/>
      <c r="P58" s="35"/>
      <c r="Q58" s="54"/>
      <c r="R58" s="55"/>
      <c r="S58" s="35"/>
      <c r="T58" s="35"/>
      <c r="U58" s="54"/>
      <c r="V58" s="35"/>
      <c r="W58" s="35"/>
      <c r="X58" s="54"/>
      <c r="Y58" s="26"/>
      <c r="Z58" s="26"/>
      <c r="AA58" s="54"/>
      <c r="AB58" s="55"/>
    </row>
    <row r="59" spans="1:28" ht="25.5" x14ac:dyDescent="0.25">
      <c r="A59" s="24"/>
      <c r="B59" s="32" t="s">
        <v>82</v>
      </c>
      <c r="C59" s="26">
        <f>42074.18018-C93</f>
        <v>35164.871000000006</v>
      </c>
      <c r="D59" s="118">
        <v>567</v>
      </c>
      <c r="E59" s="39">
        <f t="shared" si="0"/>
        <v>34597.871000000006</v>
      </c>
      <c r="F59" s="26">
        <v>6766</v>
      </c>
      <c r="G59" s="153">
        <v>82</v>
      </c>
      <c r="H59" s="39">
        <f t="shared" si="38"/>
        <v>6684</v>
      </c>
      <c r="I59" s="26">
        <f>9060+455-F59</f>
        <v>2749</v>
      </c>
      <c r="J59" s="153">
        <f>0+236-G59</f>
        <v>154</v>
      </c>
      <c r="K59" s="39">
        <f t="shared" ref="K59:K61" si="46">I59-J59</f>
        <v>2595</v>
      </c>
      <c r="L59" s="26">
        <v>34096.705000000002</v>
      </c>
      <c r="M59" s="118">
        <v>566.58000000000004</v>
      </c>
      <c r="N59" s="39">
        <f t="shared" ref="N59:N61" si="47">L59-M59</f>
        <v>33530.125</v>
      </c>
      <c r="O59" s="26">
        <f>637+33522</f>
        <v>34159</v>
      </c>
      <c r="P59" s="118">
        <f>637</f>
        <v>637</v>
      </c>
      <c r="Q59" s="39">
        <f t="shared" ref="Q59:Q61" si="48">O59-P59</f>
        <v>33522</v>
      </c>
      <c r="R59" s="50">
        <f t="shared" si="45"/>
        <v>0.96890354900739395</v>
      </c>
      <c r="S59" s="26">
        <f>8054+282</f>
        <v>8336</v>
      </c>
      <c r="T59" s="118">
        <f>282</f>
        <v>282</v>
      </c>
      <c r="U59" s="39">
        <f t="shared" ref="U59:U61" si="49">S59-T59</f>
        <v>8054</v>
      </c>
      <c r="V59" s="26">
        <f>73.08447+731.55763+201.9+13.8</f>
        <v>1020.3421</v>
      </c>
      <c r="W59" s="118">
        <v>91.2</v>
      </c>
      <c r="X59" s="39">
        <f t="shared" ref="X59:X61" si="50">V59-W59</f>
        <v>929.14209999999991</v>
      </c>
      <c r="Y59" s="26">
        <f>34555.18823</f>
        <v>34555.18823</v>
      </c>
      <c r="Z59" s="26">
        <v>630.45108000000005</v>
      </c>
      <c r="AA59" s="39">
        <f t="shared" ref="AA59:AA61" si="51">Y59-Z59</f>
        <v>33924.737150000001</v>
      </c>
      <c r="AB59" s="50">
        <f t="shared" si="8"/>
        <v>0.98054406729246413</v>
      </c>
    </row>
    <row r="60" spans="1:28" ht="25.5" x14ac:dyDescent="0.25">
      <c r="A60" s="24"/>
      <c r="B60" s="32" t="s">
        <v>83</v>
      </c>
      <c r="C60" s="26">
        <f>172522.84043-C94</f>
        <v>61508.463570000007</v>
      </c>
      <c r="D60" s="118">
        <v>5436</v>
      </c>
      <c r="E60" s="39">
        <f t="shared" si="0"/>
        <v>56072.463570000007</v>
      </c>
      <c r="F60" s="26">
        <v>8863</v>
      </c>
      <c r="G60" s="153">
        <v>1036</v>
      </c>
      <c r="H60" s="39">
        <f t="shared" si="38"/>
        <v>7827</v>
      </c>
      <c r="I60" s="26">
        <f>15085+146-F60</f>
        <v>6368</v>
      </c>
      <c r="J60" s="153">
        <f>1537+22-G60</f>
        <v>523</v>
      </c>
      <c r="K60" s="39">
        <f t="shared" si="46"/>
        <v>5845</v>
      </c>
      <c r="L60" s="26">
        <v>47761.608999999997</v>
      </c>
      <c r="M60" s="118">
        <v>5043.4089999999997</v>
      </c>
      <c r="N60" s="39">
        <f t="shared" si="47"/>
        <v>42718.2</v>
      </c>
      <c r="O60" s="26">
        <f>105.23+47737</f>
        <v>47842.23</v>
      </c>
      <c r="P60" s="118">
        <f>105.23+5019</f>
        <v>5124.2299999999996</v>
      </c>
      <c r="Q60" s="39">
        <f t="shared" si="48"/>
        <v>42718</v>
      </c>
      <c r="R60" s="50">
        <f t="shared" si="45"/>
        <v>0.76183561913008335</v>
      </c>
      <c r="S60" s="26">
        <f>5982+14.25</f>
        <v>5996.25</v>
      </c>
      <c r="T60" s="118">
        <f>1012</f>
        <v>1012</v>
      </c>
      <c r="U60" s="39">
        <f t="shared" si="49"/>
        <v>4984.25</v>
      </c>
      <c r="V60" s="26">
        <f>619.95083+38.52233</f>
        <v>658.47316000000001</v>
      </c>
      <c r="W60" s="118">
        <v>3.5</v>
      </c>
      <c r="X60" s="39">
        <f t="shared" si="50"/>
        <v>654.97316000000001</v>
      </c>
      <c r="Y60" s="26">
        <v>260799.32835</v>
      </c>
      <c r="Z60" s="26">
        <v>156546.46450999999</v>
      </c>
      <c r="AA60" s="39">
        <f t="shared" si="51"/>
        <v>104252.86384000001</v>
      </c>
      <c r="AB60" s="50">
        <f t="shared" si="8"/>
        <v>1.8592524244962472</v>
      </c>
    </row>
    <row r="61" spans="1:28" ht="25.5" x14ac:dyDescent="0.25">
      <c r="A61" s="24"/>
      <c r="B61" s="32" t="s">
        <v>84</v>
      </c>
      <c r="C61" s="26">
        <f>57377.49164-C95</f>
        <v>51400.510320000001</v>
      </c>
      <c r="D61" s="118">
        <v>30752</v>
      </c>
      <c r="E61" s="39">
        <f t="shared" si="0"/>
        <v>20648.510320000001</v>
      </c>
      <c r="F61" s="26">
        <v>46482</v>
      </c>
      <c r="G61" s="153">
        <v>30175</v>
      </c>
      <c r="H61" s="39">
        <f t="shared" si="38"/>
        <v>16307</v>
      </c>
      <c r="I61" s="26">
        <f>45956+527-F61</f>
        <v>1</v>
      </c>
      <c r="J61" s="153">
        <f>30175+0-G61</f>
        <v>0</v>
      </c>
      <c r="K61" s="39">
        <f t="shared" si="46"/>
        <v>1</v>
      </c>
      <c r="L61" s="26">
        <v>31213</v>
      </c>
      <c r="M61" s="118">
        <v>29213</v>
      </c>
      <c r="N61" s="39">
        <f t="shared" si="47"/>
        <v>2000</v>
      </c>
      <c r="O61" s="26">
        <f>500+31013</f>
        <v>31513</v>
      </c>
      <c r="P61" s="118">
        <f>200+29013</f>
        <v>29213</v>
      </c>
      <c r="Q61" s="39">
        <f t="shared" si="48"/>
        <v>2300</v>
      </c>
      <c r="R61" s="50">
        <f t="shared" si="45"/>
        <v>0.11138818076247545</v>
      </c>
      <c r="S61" s="26">
        <f>0+186.3</f>
        <v>186.3</v>
      </c>
      <c r="T61" s="118">
        <f>0</f>
        <v>0</v>
      </c>
      <c r="U61" s="39">
        <f t="shared" si="49"/>
        <v>186.3</v>
      </c>
      <c r="V61" s="26">
        <f>7448.26664</f>
        <v>7448.2666399999998</v>
      </c>
      <c r="W61" s="118">
        <f>7075.85331</f>
        <v>7075.8533100000004</v>
      </c>
      <c r="X61" s="39">
        <f t="shared" si="50"/>
        <v>372.41332999999941</v>
      </c>
      <c r="Y61" s="26">
        <v>11398.13365</v>
      </c>
      <c r="Z61" s="26">
        <v>8181.8336499999996</v>
      </c>
      <c r="AA61" s="39">
        <f t="shared" si="51"/>
        <v>3216.3</v>
      </c>
      <c r="AB61" s="50">
        <f t="shared" si="8"/>
        <v>0.1557642633853695</v>
      </c>
    </row>
    <row r="62" spans="1:28" ht="25.5" x14ac:dyDescent="0.25">
      <c r="A62" s="51" t="s">
        <v>85</v>
      </c>
      <c r="B62" s="32" t="s">
        <v>86</v>
      </c>
      <c r="C62" s="26">
        <f>76836.18738</f>
        <v>76836.187380000003</v>
      </c>
      <c r="D62" s="26">
        <v>68384.440069999997</v>
      </c>
      <c r="E62" s="39">
        <f t="shared" si="0"/>
        <v>8451.7473100000061</v>
      </c>
      <c r="F62" s="26">
        <f>16737.63999</f>
        <v>16737.63999</v>
      </c>
      <c r="G62" s="26">
        <f>15305.92239</f>
        <v>15305.92239</v>
      </c>
      <c r="H62" s="39">
        <f t="shared" si="38"/>
        <v>1431.7175999999999</v>
      </c>
      <c r="I62" s="26">
        <f>23434.7939699999-F62</f>
        <v>6697.1539799999009</v>
      </c>
      <c r="J62" s="26">
        <f>21031.95562-G62</f>
        <v>5726.0332300000009</v>
      </c>
      <c r="K62" s="39">
        <f t="shared" si="39"/>
        <v>971.1207499999</v>
      </c>
      <c r="L62" s="26">
        <f>22.6+83978.05</f>
        <v>84000.650000000009</v>
      </c>
      <c r="M62" s="26">
        <f>77081.5+22.6</f>
        <v>77104.100000000006</v>
      </c>
      <c r="N62" s="39">
        <f t="shared" si="40"/>
        <v>6896.5500000000029</v>
      </c>
      <c r="O62" s="26">
        <f>85894.25</f>
        <v>85894.25</v>
      </c>
      <c r="P62" s="26">
        <v>77104.100000000006</v>
      </c>
      <c r="Q62" s="39">
        <f t="shared" si="41"/>
        <v>8790.1499999999942</v>
      </c>
      <c r="R62" s="50">
        <f t="shared" si="45"/>
        <v>1.0400393761890625</v>
      </c>
      <c r="S62" s="26">
        <v>19655.921880000002</v>
      </c>
      <c r="T62" s="26">
        <v>17303.05373</v>
      </c>
      <c r="U62" s="39">
        <f t="shared" si="42"/>
        <v>2352.8681500000021</v>
      </c>
      <c r="V62" s="26">
        <v>6552</v>
      </c>
      <c r="W62" s="26">
        <v>5767.2</v>
      </c>
      <c r="X62" s="39">
        <f t="shared" si="43"/>
        <v>784.80000000000018</v>
      </c>
      <c r="Y62" s="26">
        <f>86340.95</f>
        <v>86340.95</v>
      </c>
      <c r="Z62" s="26">
        <v>77104.100000000006</v>
      </c>
      <c r="AA62" s="39">
        <f t="shared" si="44"/>
        <v>9236.8499999999913</v>
      </c>
      <c r="AB62" s="50">
        <f t="shared" si="8"/>
        <v>1.0928923524572323</v>
      </c>
    </row>
    <row r="63" spans="1:28" ht="25.5" x14ac:dyDescent="0.25">
      <c r="A63" s="51" t="s">
        <v>87</v>
      </c>
      <c r="B63" s="32" t="s">
        <v>88</v>
      </c>
      <c r="C63" s="26">
        <f>166048.42208</f>
        <v>166048.42207999999</v>
      </c>
      <c r="D63" s="118">
        <v>157746.00096999999</v>
      </c>
      <c r="E63" s="39">
        <f t="shared" si="0"/>
        <v>8302.4211099999957</v>
      </c>
      <c r="F63" s="26">
        <f>28122.08883</f>
        <v>28122.088830000001</v>
      </c>
      <c r="G63" s="118">
        <f>26715.98439</f>
        <v>26715.984390000001</v>
      </c>
      <c r="H63" s="39">
        <f t="shared" si="38"/>
        <v>1406.1044399999992</v>
      </c>
      <c r="I63" s="26">
        <f>28122.08883-F63</f>
        <v>0</v>
      </c>
      <c r="J63" s="118">
        <f>26715.98439-G63</f>
        <v>0</v>
      </c>
      <c r="K63" s="39">
        <f t="shared" si="39"/>
        <v>0</v>
      </c>
      <c r="L63" s="26">
        <v>53412.298300000002</v>
      </c>
      <c r="M63" s="118">
        <v>50741.683369999999</v>
      </c>
      <c r="N63" s="39">
        <f t="shared" si="40"/>
        <v>2670.6149300000034</v>
      </c>
      <c r="O63" s="26">
        <v>134878.23908999999</v>
      </c>
      <c r="P63" s="118">
        <v>132207.62416000001</v>
      </c>
      <c r="Q63" s="39">
        <f t="shared" si="41"/>
        <v>2670.6149299999815</v>
      </c>
      <c r="R63" s="50">
        <f t="shared" si="45"/>
        <v>0.32166700467449344</v>
      </c>
      <c r="S63" s="26">
        <v>26146.611639999999</v>
      </c>
      <c r="T63" s="118">
        <v>24839.281070000001</v>
      </c>
      <c r="U63" s="39">
        <f t="shared" si="42"/>
        <v>1307.3305699999983</v>
      </c>
      <c r="V63" s="26">
        <v>0</v>
      </c>
      <c r="W63" s="118">
        <v>0</v>
      </c>
      <c r="X63" s="39">
        <f t="shared" si="43"/>
        <v>0</v>
      </c>
      <c r="Y63" s="26">
        <v>300158.58068000001</v>
      </c>
      <c r="Z63" s="26">
        <v>294175.42416</v>
      </c>
      <c r="AA63" s="39">
        <f t="shared" si="44"/>
        <v>5983.1565200000186</v>
      </c>
      <c r="AB63" s="50">
        <f t="shared" si="8"/>
        <v>0.72065201713190641</v>
      </c>
    </row>
    <row r="64" spans="1:28" x14ac:dyDescent="0.25">
      <c r="A64" s="51" t="s">
        <v>89</v>
      </c>
      <c r="B64" s="32" t="s">
        <v>90</v>
      </c>
      <c r="C64" s="26"/>
      <c r="D64" s="118"/>
      <c r="E64" s="39">
        <f t="shared" si="0"/>
        <v>0</v>
      </c>
      <c r="F64" s="26"/>
      <c r="G64" s="118"/>
      <c r="H64" s="39">
        <f t="shared" si="38"/>
        <v>0</v>
      </c>
      <c r="I64" s="26"/>
      <c r="J64" s="118"/>
      <c r="K64" s="39">
        <f t="shared" si="39"/>
        <v>0</v>
      </c>
      <c r="L64" s="26"/>
      <c r="M64" s="118"/>
      <c r="N64" s="39">
        <f t="shared" si="40"/>
        <v>0</v>
      </c>
      <c r="O64" s="26"/>
      <c r="P64" s="118"/>
      <c r="Q64" s="39">
        <f t="shared" si="41"/>
        <v>0</v>
      </c>
      <c r="R64" s="50" t="e">
        <f t="shared" si="45"/>
        <v>#DIV/0!</v>
      </c>
      <c r="S64" s="26"/>
      <c r="T64" s="118"/>
      <c r="U64" s="39">
        <f t="shared" si="42"/>
        <v>0</v>
      </c>
      <c r="V64" s="26"/>
      <c r="W64" s="118"/>
      <c r="X64" s="39">
        <f t="shared" si="43"/>
        <v>0</v>
      </c>
      <c r="Y64" s="26"/>
      <c r="Z64" s="26"/>
      <c r="AA64" s="39">
        <f t="shared" si="44"/>
        <v>0</v>
      </c>
      <c r="AB64" s="50" t="e">
        <f t="shared" si="8"/>
        <v>#DIV/0!</v>
      </c>
    </row>
    <row r="65" spans="1:28" ht="38.25" x14ac:dyDescent="0.25">
      <c r="A65" s="51" t="s">
        <v>91</v>
      </c>
      <c r="B65" s="32" t="s">
        <v>92</v>
      </c>
      <c r="C65" s="26">
        <v>2254477.6537899999</v>
      </c>
      <c r="D65" s="118">
        <v>1323108.9063899999</v>
      </c>
      <c r="E65" s="39">
        <f t="shared" si="0"/>
        <v>931368.74739999999</v>
      </c>
      <c r="F65" s="26">
        <f>398971.72964</f>
        <v>398971.72963999998</v>
      </c>
      <c r="G65" s="118">
        <f>254779.63274</f>
        <v>254779.63274</v>
      </c>
      <c r="H65" s="39">
        <f t="shared" si="38"/>
        <v>144192.09689999997</v>
      </c>
      <c r="I65" s="26">
        <f>551672.70941-F65</f>
        <v>152700.97977000003</v>
      </c>
      <c r="J65" s="118">
        <f>325804.95666-G65</f>
        <v>71025.323920000024</v>
      </c>
      <c r="K65" s="39">
        <f t="shared" si="39"/>
        <v>81675.65585000001</v>
      </c>
      <c r="L65" s="26">
        <v>2486524.8472500001</v>
      </c>
      <c r="M65" s="118">
        <v>1569283.0128500001</v>
      </c>
      <c r="N65" s="39">
        <f t="shared" si="40"/>
        <v>917241.83440000005</v>
      </c>
      <c r="O65" s="26">
        <v>2512405.86925</v>
      </c>
      <c r="P65" s="118">
        <v>1594689.68585</v>
      </c>
      <c r="Q65" s="39">
        <f t="shared" si="41"/>
        <v>917716.18339999998</v>
      </c>
      <c r="R65" s="50">
        <f t="shared" si="45"/>
        <v>0.98534139776741236</v>
      </c>
      <c r="S65" s="26">
        <v>452539.10969999997</v>
      </c>
      <c r="T65" s="118">
        <v>296493.92387</v>
      </c>
      <c r="U65" s="39">
        <f t="shared" si="42"/>
        <v>156045.18582999997</v>
      </c>
      <c r="V65" s="26">
        <v>192512.3</v>
      </c>
      <c r="W65" s="118">
        <f>87412.5+6104.2+315.6+238-7075.85331</f>
        <v>86994.446689999997</v>
      </c>
      <c r="X65" s="39">
        <f t="shared" si="43"/>
        <v>105517.85330999999</v>
      </c>
      <c r="Y65" s="26">
        <v>2529239.2026</v>
      </c>
      <c r="Z65" s="26">
        <v>1606980.7917899999</v>
      </c>
      <c r="AA65" s="39">
        <f t="shared" si="44"/>
        <v>922258.41081000003</v>
      </c>
      <c r="AB65" s="50">
        <f t="shared" si="8"/>
        <v>0.99021833552453598</v>
      </c>
    </row>
    <row r="66" spans="1:28" ht="51" x14ac:dyDescent="0.25">
      <c r="A66" s="51"/>
      <c r="B66" s="56" t="s">
        <v>93</v>
      </c>
      <c r="C66" s="57">
        <f>C67+C70+C71+C72+C73+C74</f>
        <v>2266236.9485799996</v>
      </c>
      <c r="D66" s="57">
        <f>D67+D70+D71+D72+D73+D74</f>
        <v>1356281</v>
      </c>
      <c r="E66" s="57">
        <f t="shared" si="0"/>
        <v>909955.94857999962</v>
      </c>
      <c r="F66" s="58">
        <f>F67+F70+F71+F72+F73+F74</f>
        <v>401246</v>
      </c>
      <c r="G66" s="58">
        <f>G67+G70+G71+G72+G73+G74</f>
        <v>211154</v>
      </c>
      <c r="H66" s="57">
        <f t="shared" si="38"/>
        <v>190092</v>
      </c>
      <c r="I66" s="58">
        <f>I67+I70+I71+I72+I73+I74</f>
        <v>180838</v>
      </c>
      <c r="J66" s="58">
        <f>J67+J70+J71+J72+J73+J74</f>
        <v>104037</v>
      </c>
      <c r="K66" s="57">
        <f t="shared" si="39"/>
        <v>76801</v>
      </c>
      <c r="L66" s="58">
        <f>L67+L70+L71+L72+L73+L74</f>
        <v>2486524.5319999997</v>
      </c>
      <c r="M66" s="58">
        <f>M67+M70+M71+M72+M73+M74</f>
        <v>1569283.15</v>
      </c>
      <c r="N66" s="57">
        <f t="shared" si="40"/>
        <v>917241.38199999975</v>
      </c>
      <c r="O66" s="58">
        <f>O67+O70+O71+O72+O73+O74</f>
        <v>2699382.5079799998</v>
      </c>
      <c r="P66" s="58">
        <f>P67+P70+P71+P72+P73+P74</f>
        <v>1643935.6</v>
      </c>
      <c r="Q66" s="57">
        <f t="shared" si="41"/>
        <v>1055446.9079799997</v>
      </c>
      <c r="R66" s="59">
        <f t="shared" si="45"/>
        <v>1.1598879150436248</v>
      </c>
      <c r="S66" s="58">
        <f>S67+S70+S71+S72+S73+S74</f>
        <v>464280.16945000004</v>
      </c>
      <c r="T66" s="58">
        <f>T67+T70+T71+T72+T73+T74</f>
        <v>249109</v>
      </c>
      <c r="U66" s="57">
        <f t="shared" si="42"/>
        <v>215171.16945000004</v>
      </c>
      <c r="V66" s="58">
        <f>V67+V70+V71+V72+V73+V74</f>
        <v>206489.3</v>
      </c>
      <c r="W66" s="58">
        <f>W67+W70+W71+W72+W73+W74</f>
        <v>130715.2</v>
      </c>
      <c r="X66" s="57">
        <f t="shared" si="43"/>
        <v>75774.099999999991</v>
      </c>
      <c r="Y66" s="58">
        <f>Y67+Y70+Y71+Y72+Y73+Y74</f>
        <v>2699382.5079799998</v>
      </c>
      <c r="Z66" s="58">
        <f>Z67+Z70+Z71+Z72+Z73+Z74</f>
        <v>1643935.6</v>
      </c>
      <c r="AA66" s="57">
        <f t="shared" si="44"/>
        <v>1055446.9079799997</v>
      </c>
      <c r="AB66" s="60">
        <f t="shared" si="8"/>
        <v>1.1598879150436248</v>
      </c>
    </row>
    <row r="67" spans="1:28" x14ac:dyDescent="0.25">
      <c r="A67" s="51" t="s">
        <v>94</v>
      </c>
      <c r="B67" s="61" t="s">
        <v>95</v>
      </c>
      <c r="C67" s="62">
        <f>43560.54454+43698.51457+32.3002+13178.62328+1180989.9098+2682.80002+254.511+355020.27018</f>
        <v>1639417.4735899998</v>
      </c>
      <c r="D67" s="119">
        <v>1200380</v>
      </c>
      <c r="E67" s="63">
        <f t="shared" si="0"/>
        <v>439037.47358999983</v>
      </c>
      <c r="F67" s="62">
        <f>276494</f>
        <v>276494</v>
      </c>
      <c r="G67" s="154">
        <f>195255</f>
        <v>195255</v>
      </c>
      <c r="H67" s="63">
        <f t="shared" si="38"/>
        <v>81239</v>
      </c>
      <c r="I67" s="62">
        <f>390941+20994-F67</f>
        <v>135441</v>
      </c>
      <c r="J67" s="154">
        <f>290331+99-G67</f>
        <v>95175</v>
      </c>
      <c r="K67" s="63">
        <f t="shared" si="39"/>
        <v>40266</v>
      </c>
      <c r="L67" s="62">
        <v>1753486.7</v>
      </c>
      <c r="M67" s="119">
        <v>1279981.5919999999</v>
      </c>
      <c r="N67" s="63">
        <f t="shared" si="40"/>
        <v>473505.10800000001</v>
      </c>
      <c r="O67" s="62">
        <f>1722891.08412+106606.95009</f>
        <v>1829498.03421</v>
      </c>
      <c r="P67" s="119">
        <f>1367095+5623.1+800.5</f>
        <v>1373518.6</v>
      </c>
      <c r="Q67" s="63">
        <f t="shared" si="41"/>
        <v>455979.43420999986</v>
      </c>
      <c r="R67" s="64">
        <f t="shared" si="45"/>
        <v>1.0385888714270013</v>
      </c>
      <c r="S67" s="62">
        <f>314394.18397+13891.40677</f>
        <v>328285.59074000001</v>
      </c>
      <c r="T67" s="119">
        <f>233403+187</f>
        <v>233590</v>
      </c>
      <c r="U67" s="63">
        <f t="shared" si="42"/>
        <v>94695.590740000014</v>
      </c>
      <c r="V67" s="62">
        <v>142745.60000000001</v>
      </c>
      <c r="W67" s="119">
        <v>94745.3</v>
      </c>
      <c r="X67" s="63">
        <f t="shared" si="43"/>
        <v>48000.3</v>
      </c>
      <c r="Y67" s="62">
        <f>O67</f>
        <v>1829498.03421</v>
      </c>
      <c r="Z67" s="119">
        <f>P67</f>
        <v>1373518.6</v>
      </c>
      <c r="AA67" s="63">
        <f t="shared" si="44"/>
        <v>455979.43420999986</v>
      </c>
      <c r="AB67" s="64">
        <f t="shared" si="8"/>
        <v>1.0385888714270013</v>
      </c>
    </row>
    <row r="68" spans="1:28" x14ac:dyDescent="0.25">
      <c r="A68" s="51"/>
      <c r="B68" s="61" t="s">
        <v>7</v>
      </c>
      <c r="C68" s="62"/>
      <c r="D68" s="119"/>
      <c r="E68" s="63"/>
      <c r="F68" s="62"/>
      <c r="G68" s="154"/>
      <c r="H68" s="63"/>
      <c r="I68" s="62"/>
      <c r="J68" s="154"/>
      <c r="K68" s="63"/>
      <c r="L68" s="62"/>
      <c r="M68" s="119"/>
      <c r="N68" s="63"/>
      <c r="O68" s="62"/>
      <c r="P68" s="119"/>
      <c r="Q68" s="63"/>
      <c r="R68" s="64"/>
      <c r="S68" s="62"/>
      <c r="T68" s="119"/>
      <c r="U68" s="63"/>
      <c r="V68" s="62"/>
      <c r="W68" s="119"/>
      <c r="X68" s="63"/>
      <c r="Y68" s="62"/>
      <c r="Z68" s="119"/>
      <c r="AA68" s="63"/>
      <c r="AB68" s="64"/>
    </row>
    <row r="69" spans="1:28" ht="25.5" x14ac:dyDescent="0.25">
      <c r="A69" s="51"/>
      <c r="B69" s="61" t="s">
        <v>96</v>
      </c>
      <c r="C69" s="62">
        <f>1180989.9098+355020.27018+43560.54454+13178.62328</f>
        <v>1592749.3477999999</v>
      </c>
      <c r="D69" s="119">
        <v>1177461</v>
      </c>
      <c r="E69" s="63">
        <f>C69-D69</f>
        <v>415288.34779999987</v>
      </c>
      <c r="F69" s="62">
        <v>270211</v>
      </c>
      <c r="G69" s="154">
        <v>189581</v>
      </c>
      <c r="H69" s="63">
        <f>F69-G69</f>
        <v>80630</v>
      </c>
      <c r="I69" s="62">
        <f>383737+20994-F69</f>
        <v>134520</v>
      </c>
      <c r="J69" s="154">
        <f>289901+99-G69</f>
        <v>100419</v>
      </c>
      <c r="K69" s="63">
        <f t="shared" si="39"/>
        <v>34101</v>
      </c>
      <c r="L69" s="62">
        <v>1693683.7720999999</v>
      </c>
      <c r="M69" s="119">
        <v>1266943.611</v>
      </c>
      <c r="N69" s="63">
        <f t="shared" si="40"/>
        <v>426740.16109999991</v>
      </c>
      <c r="O69" s="62">
        <f>1721876.77875+57476.48609</f>
        <v>1779353.2648400001</v>
      </c>
      <c r="P69" s="119">
        <f>1341700+5623.1+800.5</f>
        <v>1348123.6</v>
      </c>
      <c r="Q69" s="63">
        <f t="shared" si="41"/>
        <v>431229.66483999998</v>
      </c>
      <c r="R69" s="64">
        <f t="shared" si="45"/>
        <v>1.0383861409173882</v>
      </c>
      <c r="S69" s="62">
        <f>7661.8866+313745.76712</f>
        <v>321407.65372</v>
      </c>
      <c r="T69" s="119">
        <f>227267+187</f>
        <v>227454</v>
      </c>
      <c r="U69" s="63">
        <f t="shared" si="42"/>
        <v>93953.653720000002</v>
      </c>
      <c r="V69" s="62">
        <v>142425.79999999999</v>
      </c>
      <c r="W69" s="119">
        <v>94451.199999999997</v>
      </c>
      <c r="X69" s="63">
        <f t="shared" si="43"/>
        <v>47974.599999999991</v>
      </c>
      <c r="Y69" s="62">
        <f t="shared" ref="Y69:Y78" si="52">O69</f>
        <v>1779353.2648400001</v>
      </c>
      <c r="Z69" s="119">
        <f t="shared" ref="Z69:Z78" si="53">P69</f>
        <v>1348123.6</v>
      </c>
      <c r="AA69" s="63">
        <f t="shared" si="44"/>
        <v>431229.66483999998</v>
      </c>
      <c r="AB69" s="64">
        <f t="shared" si="8"/>
        <v>1.0383861409173882</v>
      </c>
    </row>
    <row r="70" spans="1:28" x14ac:dyDescent="0.25">
      <c r="A70" s="51" t="s">
        <v>97</v>
      </c>
      <c r="B70" s="61" t="s">
        <v>98</v>
      </c>
      <c r="C70" s="62">
        <f>1905.73939+76.9211+731.37284</f>
        <v>2714.0333300000002</v>
      </c>
      <c r="D70" s="119">
        <v>2442</v>
      </c>
      <c r="E70" s="63">
        <f t="shared" ref="E70:E74" si="54">C70-D70</f>
        <v>272.03333000000021</v>
      </c>
      <c r="F70" s="62">
        <v>1228</v>
      </c>
      <c r="G70" s="154">
        <v>1152</v>
      </c>
      <c r="H70" s="63">
        <f t="shared" ref="H70:H78" si="55">F70-G70</f>
        <v>76</v>
      </c>
      <c r="I70" s="62">
        <f>1376+5-F70</f>
        <v>153</v>
      </c>
      <c r="J70" s="154">
        <f>1184-G70</f>
        <v>32</v>
      </c>
      <c r="K70" s="63">
        <f t="shared" si="39"/>
        <v>121</v>
      </c>
      <c r="L70" s="62">
        <v>2817.4</v>
      </c>
      <c r="M70" s="119">
        <v>2588.732</v>
      </c>
      <c r="N70" s="63">
        <f t="shared" si="40"/>
        <v>228.66800000000012</v>
      </c>
      <c r="O70" s="62">
        <f>918.71587+2195.7338</f>
        <v>3114.44967</v>
      </c>
      <c r="P70" s="119">
        <f>3026</f>
        <v>3026</v>
      </c>
      <c r="Q70" s="63">
        <f t="shared" si="41"/>
        <v>88.449669999999969</v>
      </c>
      <c r="R70" s="64">
        <f t="shared" si="45"/>
        <v>0.32514276835121603</v>
      </c>
      <c r="S70" s="62">
        <f>423.18851+348.354</f>
        <v>771.54250999999999</v>
      </c>
      <c r="T70" s="119">
        <f>686</f>
        <v>686</v>
      </c>
      <c r="U70" s="63">
        <f t="shared" si="42"/>
        <v>85.542509999999993</v>
      </c>
      <c r="V70" s="62">
        <v>257.3</v>
      </c>
      <c r="W70" s="119">
        <v>228.7</v>
      </c>
      <c r="X70" s="63">
        <f t="shared" si="43"/>
        <v>28.600000000000023</v>
      </c>
      <c r="Y70" s="62">
        <f t="shared" si="52"/>
        <v>3114.44967</v>
      </c>
      <c r="Z70" s="119">
        <f t="shared" si="53"/>
        <v>3026</v>
      </c>
      <c r="AA70" s="63">
        <f t="shared" si="44"/>
        <v>88.449669999999969</v>
      </c>
      <c r="AB70" s="64">
        <f t="shared" si="8"/>
        <v>0.32514276835121603</v>
      </c>
    </row>
    <row r="71" spans="1:28" x14ac:dyDescent="0.25">
      <c r="A71" s="51" t="s">
        <v>99</v>
      </c>
      <c r="B71" s="61" t="s">
        <v>100</v>
      </c>
      <c r="C71" s="62">
        <f>85.25372+66.19801+13355.59385</f>
        <v>13507.04558</v>
      </c>
      <c r="D71" s="119"/>
      <c r="E71" s="63">
        <f t="shared" si="54"/>
        <v>13507.04558</v>
      </c>
      <c r="F71" s="62">
        <v>251</v>
      </c>
      <c r="G71" s="154"/>
      <c r="H71" s="63">
        <f t="shared" si="55"/>
        <v>251</v>
      </c>
      <c r="I71" s="62">
        <f>4197+178-F71</f>
        <v>4124</v>
      </c>
      <c r="J71" s="154"/>
      <c r="K71" s="63">
        <f t="shared" si="39"/>
        <v>4124</v>
      </c>
      <c r="L71" s="62">
        <v>21448.799999999999</v>
      </c>
      <c r="M71" s="119">
        <v>0</v>
      </c>
      <c r="N71" s="63">
        <f t="shared" si="40"/>
        <v>21448.799999999999</v>
      </c>
      <c r="O71" s="62">
        <v>27452.371200000001</v>
      </c>
      <c r="P71" s="119">
        <v>0</v>
      </c>
      <c r="Q71" s="63">
        <f t="shared" si="41"/>
        <v>27452.371200000001</v>
      </c>
      <c r="R71" s="64">
        <f t="shared" si="45"/>
        <v>2.0324482535728587</v>
      </c>
      <c r="S71" s="62">
        <f>6627.0946</f>
        <v>6627.0946000000004</v>
      </c>
      <c r="T71" s="119"/>
      <c r="U71" s="63">
        <f t="shared" si="42"/>
        <v>6627.0946000000004</v>
      </c>
      <c r="V71" s="62">
        <v>4741.2</v>
      </c>
      <c r="W71" s="119"/>
      <c r="X71" s="63">
        <f t="shared" si="43"/>
        <v>4741.2</v>
      </c>
      <c r="Y71" s="62">
        <f t="shared" ref="Y71:Y73" si="56">O71</f>
        <v>27452.371200000001</v>
      </c>
      <c r="Z71" s="119">
        <f t="shared" ref="Z71:Z73" si="57">P71</f>
        <v>0</v>
      </c>
      <c r="AA71" s="63">
        <f t="shared" si="44"/>
        <v>27452.371200000001</v>
      </c>
      <c r="AB71" s="64">
        <f t="shared" si="8"/>
        <v>2.0324482535728587</v>
      </c>
    </row>
    <row r="72" spans="1:28" x14ac:dyDescent="0.25">
      <c r="A72" s="51" t="s">
        <v>101</v>
      </c>
      <c r="B72" s="61" t="s">
        <v>102</v>
      </c>
      <c r="C72" s="62"/>
      <c r="D72" s="119"/>
      <c r="E72" s="63">
        <f t="shared" si="54"/>
        <v>0</v>
      </c>
      <c r="F72" s="62"/>
      <c r="G72" s="154"/>
      <c r="H72" s="63">
        <f t="shared" si="55"/>
        <v>0</v>
      </c>
      <c r="I72" s="62"/>
      <c r="J72" s="154"/>
      <c r="K72" s="63">
        <f t="shared" si="39"/>
        <v>0</v>
      </c>
      <c r="L72" s="62"/>
      <c r="M72" s="119"/>
      <c r="N72" s="63">
        <f t="shared" si="40"/>
        <v>0</v>
      </c>
      <c r="O72" s="62"/>
      <c r="P72" s="119"/>
      <c r="Q72" s="63">
        <f t="shared" si="41"/>
        <v>0</v>
      </c>
      <c r="R72" s="64" t="e">
        <f t="shared" si="45"/>
        <v>#DIV/0!</v>
      </c>
      <c r="S72" s="62"/>
      <c r="T72" s="119"/>
      <c r="U72" s="63">
        <f t="shared" si="42"/>
        <v>0</v>
      </c>
      <c r="V72" s="62"/>
      <c r="W72" s="119"/>
      <c r="X72" s="63">
        <f t="shared" si="43"/>
        <v>0</v>
      </c>
      <c r="Y72" s="62">
        <f t="shared" si="56"/>
        <v>0</v>
      </c>
      <c r="Z72" s="119">
        <f t="shared" si="57"/>
        <v>0</v>
      </c>
      <c r="AA72" s="63">
        <f t="shared" si="44"/>
        <v>0</v>
      </c>
      <c r="AB72" s="64" t="e">
        <f t="shared" si="8"/>
        <v>#DIV/0!</v>
      </c>
    </row>
    <row r="73" spans="1:28" ht="25.5" x14ac:dyDescent="0.25">
      <c r="A73" s="51" t="s">
        <v>103</v>
      </c>
      <c r="B73" s="61" t="s">
        <v>104</v>
      </c>
      <c r="C73" s="62">
        <v>6537.64714</v>
      </c>
      <c r="D73" s="119">
        <v>2933</v>
      </c>
      <c r="E73" s="63">
        <f t="shared" si="54"/>
        <v>3604.64714</v>
      </c>
      <c r="F73" s="62">
        <v>1875</v>
      </c>
      <c r="G73" s="154"/>
      <c r="H73" s="63">
        <f t="shared" si="55"/>
        <v>1875</v>
      </c>
      <c r="I73" s="62">
        <f>2281-F73</f>
        <v>406</v>
      </c>
      <c r="J73" s="154"/>
      <c r="K73" s="63">
        <f t="shared" si="39"/>
        <v>406</v>
      </c>
      <c r="L73" s="62"/>
      <c r="M73" s="119"/>
      <c r="N73" s="63">
        <f t="shared" si="40"/>
        <v>0</v>
      </c>
      <c r="O73" s="62">
        <v>7700</v>
      </c>
      <c r="P73" s="119">
        <f>4655</f>
        <v>4655</v>
      </c>
      <c r="Q73" s="63">
        <f t="shared" si="41"/>
        <v>3045</v>
      </c>
      <c r="R73" s="64">
        <f t="shared" si="45"/>
        <v>0.84474287821692307</v>
      </c>
      <c r="S73" s="62">
        <v>0</v>
      </c>
      <c r="T73" s="119"/>
      <c r="U73" s="63">
        <f t="shared" si="42"/>
        <v>0</v>
      </c>
      <c r="V73" s="62">
        <v>0</v>
      </c>
      <c r="W73" s="119"/>
      <c r="X73" s="63">
        <f t="shared" si="43"/>
        <v>0</v>
      </c>
      <c r="Y73" s="62">
        <f t="shared" si="56"/>
        <v>7700</v>
      </c>
      <c r="Z73" s="119">
        <f t="shared" si="57"/>
        <v>4655</v>
      </c>
      <c r="AA73" s="63">
        <f t="shared" si="44"/>
        <v>3045</v>
      </c>
      <c r="AB73" s="64">
        <f t="shared" si="8"/>
        <v>0.84474287821692307</v>
      </c>
    </row>
    <row r="74" spans="1:28" x14ac:dyDescent="0.25">
      <c r="A74" s="51" t="s">
        <v>209</v>
      </c>
      <c r="B74" s="61" t="s">
        <v>105</v>
      </c>
      <c r="C74" s="62">
        <f>294814.35558+309246.39336</f>
        <v>604060.74893999996</v>
      </c>
      <c r="D74" s="119">
        <v>150526</v>
      </c>
      <c r="E74" s="63">
        <f t="shared" si="54"/>
        <v>453534.74893999996</v>
      </c>
      <c r="F74" s="62">
        <v>121398</v>
      </c>
      <c r="G74" s="154">
        <v>14747</v>
      </c>
      <c r="H74" s="63">
        <f t="shared" si="55"/>
        <v>106651</v>
      </c>
      <c r="I74" s="62">
        <f>131934+30178-F74</f>
        <v>40714</v>
      </c>
      <c r="J74" s="154">
        <f>23577-G74</f>
        <v>8830</v>
      </c>
      <c r="K74" s="63">
        <f t="shared" si="39"/>
        <v>31884</v>
      </c>
      <c r="L74" s="62">
        <v>708771.63199999998</v>
      </c>
      <c r="M74" s="119">
        <v>286712.826</v>
      </c>
      <c r="N74" s="63">
        <f t="shared" si="40"/>
        <v>422058.80599999998</v>
      </c>
      <c r="O74" s="62">
        <f>412529.98722+419087.66568</f>
        <v>831617.65289999999</v>
      </c>
      <c r="P74" s="119">
        <f>262736</f>
        <v>262736</v>
      </c>
      <c r="Q74" s="63">
        <f t="shared" si="41"/>
        <v>568881.65289999999</v>
      </c>
      <c r="R74" s="64">
        <f t="shared" si="45"/>
        <v>1.2543287018901825</v>
      </c>
      <c r="S74" s="62">
        <f>74903.42375+53692.51785</f>
        <v>128595.94159999999</v>
      </c>
      <c r="T74" s="119">
        <f>14833</f>
        <v>14833</v>
      </c>
      <c r="U74" s="63">
        <f t="shared" si="42"/>
        <v>113762.94159999999</v>
      </c>
      <c r="V74" s="62">
        <v>58745.2</v>
      </c>
      <c r="W74" s="119">
        <v>35741.199999999997</v>
      </c>
      <c r="X74" s="63">
        <f t="shared" si="43"/>
        <v>23004</v>
      </c>
      <c r="Y74" s="62">
        <f t="shared" si="52"/>
        <v>831617.65289999999</v>
      </c>
      <c r="Z74" s="119">
        <f t="shared" si="53"/>
        <v>262736</v>
      </c>
      <c r="AA74" s="63">
        <f t="shared" si="44"/>
        <v>568881.65289999999</v>
      </c>
      <c r="AB74" s="64">
        <f t="shared" si="8"/>
        <v>1.2543287018901825</v>
      </c>
    </row>
    <row r="75" spans="1:28" x14ac:dyDescent="0.25">
      <c r="A75" s="51"/>
      <c r="B75" s="61" t="s">
        <v>7</v>
      </c>
      <c r="C75" s="62"/>
      <c r="D75" s="119"/>
      <c r="E75" s="63"/>
      <c r="F75" s="62"/>
      <c r="G75" s="154"/>
      <c r="H75" s="63"/>
      <c r="I75" s="62"/>
      <c r="J75" s="154"/>
      <c r="K75" s="63"/>
      <c r="L75" s="62"/>
      <c r="M75" s="119"/>
      <c r="N75" s="63"/>
      <c r="O75" s="62"/>
      <c r="P75" s="119"/>
      <c r="Q75" s="63"/>
      <c r="R75" s="64"/>
      <c r="S75" s="62"/>
      <c r="T75" s="119"/>
      <c r="U75" s="63"/>
      <c r="V75" s="62"/>
      <c r="W75" s="119"/>
      <c r="X75" s="63"/>
      <c r="Y75" s="62">
        <f t="shared" si="52"/>
        <v>0</v>
      </c>
      <c r="Z75" s="119">
        <f t="shared" si="53"/>
        <v>0</v>
      </c>
      <c r="AA75" s="63"/>
      <c r="AB75" s="64"/>
    </row>
    <row r="76" spans="1:28" ht="25.5" x14ac:dyDescent="0.25">
      <c r="A76" s="51"/>
      <c r="B76" s="61" t="s">
        <v>106</v>
      </c>
      <c r="C76" s="62">
        <v>137657</v>
      </c>
      <c r="D76" s="119"/>
      <c r="E76" s="63">
        <f t="shared" ref="E76:E78" si="58">C76-D76</f>
        <v>137657</v>
      </c>
      <c r="F76" s="62">
        <v>50984</v>
      </c>
      <c r="G76" s="154">
        <v>0</v>
      </c>
      <c r="H76" s="63">
        <f t="shared" si="55"/>
        <v>50984</v>
      </c>
      <c r="I76" s="62">
        <f>56781+8369-F76</f>
        <v>14166</v>
      </c>
      <c r="J76" s="154">
        <v>0</v>
      </c>
      <c r="K76" s="63">
        <f t="shared" ref="K76:K78" si="59">I76-J76</f>
        <v>14166</v>
      </c>
      <c r="L76" s="62">
        <v>159687.66</v>
      </c>
      <c r="M76" s="119">
        <v>0</v>
      </c>
      <c r="N76" s="63">
        <f t="shared" ref="N76:N78" si="60">L76-M76</f>
        <v>159687.66</v>
      </c>
      <c r="O76" s="62">
        <f>167555</f>
        <v>167555</v>
      </c>
      <c r="P76" s="119">
        <v>0</v>
      </c>
      <c r="Q76" s="63">
        <f t="shared" ref="Q76:Q78" si="61">O76-P76</f>
        <v>167555</v>
      </c>
      <c r="R76" s="64">
        <f t="shared" si="45"/>
        <v>1.2171920062183543</v>
      </c>
      <c r="S76" s="62">
        <f>44781</f>
        <v>44781</v>
      </c>
      <c r="T76" s="119"/>
      <c r="U76" s="63">
        <f t="shared" ref="U76:U78" si="62">S76-T76</f>
        <v>44781</v>
      </c>
      <c r="V76" s="62">
        <v>14741.2</v>
      </c>
      <c r="W76" s="119">
        <v>0</v>
      </c>
      <c r="X76" s="63">
        <f t="shared" ref="X76:X78" si="63">V76-W76</f>
        <v>14741.2</v>
      </c>
      <c r="Y76" s="62">
        <f t="shared" si="52"/>
        <v>167555</v>
      </c>
      <c r="Z76" s="119">
        <f t="shared" si="53"/>
        <v>0</v>
      </c>
      <c r="AA76" s="63">
        <f t="shared" ref="AA76:AA78" si="64">Y76-Z76</f>
        <v>167555</v>
      </c>
      <c r="AB76" s="64">
        <f t="shared" si="8"/>
        <v>1.2171920062183543</v>
      </c>
    </row>
    <row r="77" spans="1:28" ht="25.5" x14ac:dyDescent="0.25">
      <c r="A77" s="51"/>
      <c r="B77" s="61" t="s">
        <v>83</v>
      </c>
      <c r="C77" s="62">
        <v>133274</v>
      </c>
      <c r="D77" s="119">
        <v>14416</v>
      </c>
      <c r="E77" s="63">
        <f t="shared" si="58"/>
        <v>118858</v>
      </c>
      <c r="F77" s="62">
        <v>21487</v>
      </c>
      <c r="G77" s="154">
        <v>228</v>
      </c>
      <c r="H77" s="63">
        <f t="shared" si="55"/>
        <v>21259</v>
      </c>
      <c r="I77" s="62">
        <f>25567+778-F77</f>
        <v>4858</v>
      </c>
      <c r="J77" s="154">
        <f>257-G77</f>
        <v>29</v>
      </c>
      <c r="K77" s="63">
        <f t="shared" si="59"/>
        <v>4829</v>
      </c>
      <c r="L77" s="62">
        <v>132218.60800000001</v>
      </c>
      <c r="M77" s="119">
        <v>13310.4</v>
      </c>
      <c r="N77" s="63">
        <f t="shared" si="60"/>
        <v>118908.20800000001</v>
      </c>
      <c r="O77" s="62">
        <f>257901</f>
        <v>257901</v>
      </c>
      <c r="P77" s="119">
        <f>102698</f>
        <v>102698</v>
      </c>
      <c r="Q77" s="63">
        <f t="shared" si="61"/>
        <v>155203</v>
      </c>
      <c r="R77" s="64">
        <f t="shared" si="45"/>
        <v>1.3057850544347036</v>
      </c>
      <c r="S77" s="62">
        <f>25937</f>
        <v>25937</v>
      </c>
      <c r="T77" s="119">
        <f>59</f>
        <v>59</v>
      </c>
      <c r="U77" s="63">
        <f t="shared" si="62"/>
        <v>25878</v>
      </c>
      <c r="V77" s="62">
        <v>14745.3</v>
      </c>
      <c r="W77" s="119">
        <v>9745.2000000000007</v>
      </c>
      <c r="X77" s="63">
        <f t="shared" si="63"/>
        <v>5000.0999999999985</v>
      </c>
      <c r="Y77" s="62">
        <f t="shared" si="52"/>
        <v>257901</v>
      </c>
      <c r="Z77" s="119">
        <f t="shared" si="53"/>
        <v>102698</v>
      </c>
      <c r="AA77" s="63">
        <f t="shared" si="64"/>
        <v>155203</v>
      </c>
      <c r="AB77" s="64">
        <f t="shared" si="8"/>
        <v>1.3057850544347036</v>
      </c>
    </row>
    <row r="78" spans="1:28" ht="25.5" x14ac:dyDescent="0.25">
      <c r="A78" s="51"/>
      <c r="B78" s="61" t="s">
        <v>84</v>
      </c>
      <c r="C78" s="62">
        <v>99810</v>
      </c>
      <c r="D78" s="119">
        <v>56795</v>
      </c>
      <c r="E78" s="63">
        <f t="shared" si="58"/>
        <v>43015</v>
      </c>
      <c r="F78" s="62">
        <v>9701</v>
      </c>
      <c r="G78" s="154">
        <v>2081</v>
      </c>
      <c r="H78" s="63">
        <f t="shared" si="55"/>
        <v>7620</v>
      </c>
      <c r="I78" s="62">
        <f>6202+6445-F78</f>
        <v>2946</v>
      </c>
      <c r="J78" s="154">
        <f>2965-G78</f>
        <v>884</v>
      </c>
      <c r="K78" s="63">
        <f t="shared" si="59"/>
        <v>2062</v>
      </c>
      <c r="L78" s="62">
        <v>95694.53</v>
      </c>
      <c r="M78" s="119">
        <v>4300</v>
      </c>
      <c r="N78" s="63">
        <f t="shared" si="60"/>
        <v>91394.53</v>
      </c>
      <c r="O78" s="62">
        <f>76785</f>
        <v>76785</v>
      </c>
      <c r="P78" s="119">
        <f>32236</f>
        <v>32236</v>
      </c>
      <c r="Q78" s="63">
        <f t="shared" si="61"/>
        <v>44549</v>
      </c>
      <c r="R78" s="64">
        <f t="shared" si="45"/>
        <v>1.035661978379635</v>
      </c>
      <c r="S78" s="62">
        <f>4389</f>
        <v>4389</v>
      </c>
      <c r="T78" s="119">
        <f>1770</f>
        <v>1770</v>
      </c>
      <c r="U78" s="63">
        <f t="shared" si="62"/>
        <v>2619</v>
      </c>
      <c r="V78" s="62">
        <v>4748.6000000000004</v>
      </c>
      <c r="W78" s="119">
        <v>2896.4</v>
      </c>
      <c r="X78" s="63">
        <f t="shared" si="63"/>
        <v>1852.2000000000003</v>
      </c>
      <c r="Y78" s="62">
        <f t="shared" si="52"/>
        <v>76785</v>
      </c>
      <c r="Z78" s="119">
        <f t="shared" si="53"/>
        <v>32236</v>
      </c>
      <c r="AA78" s="63">
        <f t="shared" si="64"/>
        <v>44549</v>
      </c>
      <c r="AB78" s="64">
        <f t="shared" si="8"/>
        <v>1.035661978379635</v>
      </c>
    </row>
    <row r="79" spans="1:28" ht="25.5" x14ac:dyDescent="0.25">
      <c r="A79" s="24" t="s">
        <v>107</v>
      </c>
      <c r="B79" s="32" t="s">
        <v>108</v>
      </c>
      <c r="C79" s="26">
        <v>80.697559999999996</v>
      </c>
      <c r="D79" s="120"/>
      <c r="E79" s="39">
        <f t="shared" si="0"/>
        <v>80.697559999999996</v>
      </c>
      <c r="F79" s="26"/>
      <c r="G79" s="120"/>
      <c r="H79" s="39">
        <f t="shared" si="38"/>
        <v>0</v>
      </c>
      <c r="I79" s="26">
        <f>0-F79</f>
        <v>0</v>
      </c>
      <c r="J79" s="120"/>
      <c r="K79" s="39">
        <f t="shared" si="39"/>
        <v>0</v>
      </c>
      <c r="L79" s="26">
        <v>143.5</v>
      </c>
      <c r="M79" s="120"/>
      <c r="N79" s="39">
        <f t="shared" si="40"/>
        <v>143.5</v>
      </c>
      <c r="O79" s="26">
        <v>143.5</v>
      </c>
      <c r="P79" s="120"/>
      <c r="Q79" s="39">
        <f t="shared" si="41"/>
        <v>143.5</v>
      </c>
      <c r="R79" s="50">
        <f>Q79/E79</f>
        <v>1.7782445962430586</v>
      </c>
      <c r="S79" s="26"/>
      <c r="T79" s="120"/>
      <c r="U79" s="39">
        <f t="shared" si="42"/>
        <v>0</v>
      </c>
      <c r="V79" s="26">
        <v>0</v>
      </c>
      <c r="W79" s="120"/>
      <c r="X79" s="39">
        <f t="shared" si="43"/>
        <v>0</v>
      </c>
      <c r="Y79" s="26">
        <v>143.5</v>
      </c>
      <c r="Z79" s="120"/>
      <c r="AA79" s="39">
        <f t="shared" si="44"/>
        <v>143.5</v>
      </c>
      <c r="AB79" s="50">
        <f t="shared" si="8"/>
        <v>1.7782445962430586</v>
      </c>
    </row>
    <row r="80" spans="1:28" ht="25.5" x14ac:dyDescent="0.25">
      <c r="A80" s="24" t="s">
        <v>109</v>
      </c>
      <c r="B80" s="32" t="s">
        <v>110</v>
      </c>
      <c r="C80" s="26">
        <f>C82+C83+C84+C85</f>
        <v>17009.11188</v>
      </c>
      <c r="D80" s="118">
        <f>D82+D83+D84+D85</f>
        <v>787.31399999999996</v>
      </c>
      <c r="E80" s="39">
        <f t="shared" si="0"/>
        <v>16221.79788</v>
      </c>
      <c r="F80" s="26">
        <f>F82+F83+F84+F85</f>
        <v>316.33210000000003</v>
      </c>
      <c r="G80" s="118">
        <f>G82+G83+G84+G85</f>
        <v>0</v>
      </c>
      <c r="H80" s="39">
        <f t="shared" si="38"/>
        <v>316.33210000000003</v>
      </c>
      <c r="I80" s="26">
        <f>I82+I83+I84</f>
        <v>228.69580999999999</v>
      </c>
      <c r="J80" s="118"/>
      <c r="K80" s="39">
        <f t="shared" si="39"/>
        <v>228.69580999999999</v>
      </c>
      <c r="L80" s="26">
        <f>L82+L84+L83+L85</f>
        <v>24921.737000000001</v>
      </c>
      <c r="M80" s="118">
        <f>M82+M83+M84+M85</f>
        <v>2675.6000000000004</v>
      </c>
      <c r="N80" s="39">
        <f t="shared" si="40"/>
        <v>22246.137000000002</v>
      </c>
      <c r="O80" s="26">
        <f>O82+O83+O84+O85</f>
        <v>22761.79002</v>
      </c>
      <c r="P80" s="118">
        <f>P82+P83+P84+P85</f>
        <v>2675.6000000000004</v>
      </c>
      <c r="Q80" s="39">
        <f t="shared" si="41"/>
        <v>20086.190020000002</v>
      </c>
      <c r="R80" s="50">
        <f t="shared" ref="R80:R103" si="65">Q80/E80</f>
        <v>1.2382221852711188</v>
      </c>
      <c r="S80" s="26">
        <f>S82+S83+S84+S85</f>
        <v>509.92895000000004</v>
      </c>
      <c r="T80" s="118"/>
      <c r="U80" s="39">
        <f t="shared" si="42"/>
        <v>509.92895000000004</v>
      </c>
      <c r="V80" s="26">
        <f>V82+V83+V84+V85</f>
        <v>1163.55189</v>
      </c>
      <c r="W80" s="118">
        <f>W82+W83+W84+W85</f>
        <v>0</v>
      </c>
      <c r="X80" s="39">
        <f t="shared" si="43"/>
        <v>1163.55189</v>
      </c>
      <c r="Y80" s="26">
        <f>Y82+Y83+Y84+Y85</f>
        <v>23072.955950000003</v>
      </c>
      <c r="Z80" s="120">
        <f>Z82+Z83+Z84+Z85</f>
        <v>2675.6000000000004</v>
      </c>
      <c r="AA80" s="39">
        <f t="shared" si="44"/>
        <v>20397.355950000005</v>
      </c>
      <c r="AB80" s="50">
        <f t="shared" si="8"/>
        <v>1.2574041484728451</v>
      </c>
    </row>
    <row r="81" spans="1:28" x14ac:dyDescent="0.25">
      <c r="A81" s="24"/>
      <c r="B81" s="32" t="s">
        <v>17</v>
      </c>
      <c r="C81" s="26"/>
      <c r="D81" s="118"/>
      <c r="E81" s="39"/>
      <c r="F81" s="26"/>
      <c r="G81" s="118"/>
      <c r="H81" s="39"/>
      <c r="I81" s="26"/>
      <c r="J81" s="118"/>
      <c r="K81" s="39"/>
      <c r="L81" s="26"/>
      <c r="M81" s="118"/>
      <c r="N81" s="39"/>
      <c r="O81" s="26"/>
      <c r="P81" s="118"/>
      <c r="Q81" s="39"/>
      <c r="R81" s="50"/>
      <c r="S81" s="26"/>
      <c r="T81" s="118"/>
      <c r="U81" s="39"/>
      <c r="V81" s="26"/>
      <c r="W81" s="118"/>
      <c r="X81" s="39"/>
      <c r="Y81" s="26"/>
      <c r="Z81" s="120"/>
      <c r="AA81" s="39"/>
      <c r="AB81" s="50"/>
    </row>
    <row r="82" spans="1:28" ht="76.5" x14ac:dyDescent="0.25">
      <c r="A82" s="24"/>
      <c r="B82" s="32" t="s">
        <v>111</v>
      </c>
      <c r="C82" s="26">
        <f>15094.77303</f>
        <v>15094.77303</v>
      </c>
      <c r="D82" s="118"/>
      <c r="E82" s="39">
        <f t="shared" si="0"/>
        <v>15094.77303</v>
      </c>
      <c r="F82" s="26"/>
      <c r="G82" s="118"/>
      <c r="H82" s="39">
        <f t="shared" si="38"/>
        <v>0</v>
      </c>
      <c r="I82" s="26">
        <f>0-F82</f>
        <v>0</v>
      </c>
      <c r="J82" s="118"/>
      <c r="K82" s="39">
        <f t="shared" si="39"/>
        <v>0</v>
      </c>
      <c r="L82" s="26">
        <v>2110.3000000000002</v>
      </c>
      <c r="M82" s="118">
        <v>78.3</v>
      </c>
      <c r="N82" s="39">
        <f t="shared" si="40"/>
        <v>2032.0000000000002</v>
      </c>
      <c r="O82" s="26">
        <v>2110.3000000000002</v>
      </c>
      <c r="P82" s="118">
        <f>78.3</f>
        <v>78.3</v>
      </c>
      <c r="Q82" s="39">
        <f t="shared" si="41"/>
        <v>2032.0000000000002</v>
      </c>
      <c r="R82" s="50">
        <f t="shared" si="65"/>
        <v>0.13461613473495204</v>
      </c>
      <c r="S82" s="26">
        <v>486.27593000000002</v>
      </c>
      <c r="T82" s="118"/>
      <c r="U82" s="39">
        <f t="shared" si="42"/>
        <v>486.27593000000002</v>
      </c>
      <c r="V82" s="26">
        <v>0</v>
      </c>
      <c r="W82" s="118"/>
      <c r="X82" s="39">
        <f t="shared" si="43"/>
        <v>0</v>
      </c>
      <c r="Y82" s="26">
        <v>3593.3</v>
      </c>
      <c r="Z82" s="120">
        <v>78.3</v>
      </c>
      <c r="AA82" s="39">
        <f t="shared" si="44"/>
        <v>3515</v>
      </c>
      <c r="AB82" s="50">
        <f t="shared" si="8"/>
        <v>0.23286206377625804</v>
      </c>
    </row>
    <row r="83" spans="1:28" ht="25.5" x14ac:dyDescent="0.25">
      <c r="A83" s="24"/>
      <c r="B83" s="32" t="s">
        <v>112</v>
      </c>
      <c r="C83" s="26">
        <f>318.16656-C102</f>
        <v>316.16656</v>
      </c>
      <c r="D83" s="118"/>
      <c r="E83" s="39">
        <f t="shared" si="0"/>
        <v>316.16656</v>
      </c>
      <c r="F83" s="26">
        <v>17.832100000000001</v>
      </c>
      <c r="G83" s="118"/>
      <c r="H83" s="39">
        <f t="shared" si="38"/>
        <v>17.832100000000001</v>
      </c>
      <c r="I83" s="26">
        <f>28.3568-F83</f>
        <v>10.524699999999999</v>
      </c>
      <c r="J83" s="118"/>
      <c r="K83" s="39">
        <f t="shared" si="39"/>
        <v>10.524699999999999</v>
      </c>
      <c r="L83" s="26">
        <v>2811.4369999999999</v>
      </c>
      <c r="M83" s="118">
        <v>2597.3000000000002</v>
      </c>
      <c r="N83" s="39">
        <f t="shared" si="40"/>
        <v>214.13699999999972</v>
      </c>
      <c r="O83" s="26">
        <f>8.08598-O102</f>
        <v>8.0859799999999993</v>
      </c>
      <c r="P83" s="118"/>
      <c r="Q83" s="39">
        <f t="shared" si="41"/>
        <v>8.0859799999999993</v>
      </c>
      <c r="R83" s="50">
        <f t="shared" si="65"/>
        <v>2.5575063978935657E-2</v>
      </c>
      <c r="S83" s="26">
        <v>8.0859799999999993</v>
      </c>
      <c r="T83" s="118"/>
      <c r="U83" s="39">
        <f t="shared" si="42"/>
        <v>8.0859799999999993</v>
      </c>
      <c r="V83" s="26">
        <f>18.55189+929.8+0.6</f>
        <v>948.95188999999993</v>
      </c>
      <c r="W83" s="118"/>
      <c r="X83" s="39">
        <f t="shared" si="43"/>
        <v>948.95188999999993</v>
      </c>
      <c r="Y83" s="26">
        <v>989.33253000000002</v>
      </c>
      <c r="Z83" s="120"/>
      <c r="AA83" s="39">
        <f t="shared" si="44"/>
        <v>989.33253000000002</v>
      </c>
      <c r="AB83" s="50">
        <f t="shared" si="8"/>
        <v>3.1291498063552323</v>
      </c>
    </row>
    <row r="84" spans="1:28" ht="25.5" x14ac:dyDescent="0.25">
      <c r="A84" s="24"/>
      <c r="B84" s="32" t="s">
        <v>113</v>
      </c>
      <c r="C84" s="26">
        <f>3478.59777-C103</f>
        <v>1598.17229</v>
      </c>
      <c r="D84" s="118">
        <f>787.314-D103</f>
        <v>787.31399999999996</v>
      </c>
      <c r="E84" s="39">
        <f t="shared" si="0"/>
        <v>810.85829000000001</v>
      </c>
      <c r="F84" s="26">
        <v>298.5</v>
      </c>
      <c r="G84" s="118"/>
      <c r="H84" s="39">
        <f t="shared" si="38"/>
        <v>298.5</v>
      </c>
      <c r="I84" s="26">
        <f>516.67111-F84</f>
        <v>218.17111</v>
      </c>
      <c r="J84" s="118"/>
      <c r="K84" s="39">
        <f t="shared" si="39"/>
        <v>218.17111</v>
      </c>
      <c r="L84" s="26">
        <v>20000</v>
      </c>
      <c r="M84" s="118"/>
      <c r="N84" s="39">
        <f t="shared" si="40"/>
        <v>20000</v>
      </c>
      <c r="O84" s="26">
        <f>3420.30404-O103</f>
        <v>2827.0040399999998</v>
      </c>
      <c r="P84" s="118">
        <f>2597.3</f>
        <v>2597.3000000000002</v>
      </c>
      <c r="Q84" s="39">
        <f t="shared" si="41"/>
        <v>229.70403999999962</v>
      </c>
      <c r="R84" s="50">
        <f t="shared" si="65"/>
        <v>0.28328506082116967</v>
      </c>
      <c r="S84" s="26">
        <f>28.66804-S103</f>
        <v>15.56704</v>
      </c>
      <c r="T84" s="118"/>
      <c r="U84" s="39">
        <f t="shared" si="42"/>
        <v>15.56704</v>
      </c>
      <c r="V84" s="26">
        <v>214.6</v>
      </c>
      <c r="W84" s="118"/>
      <c r="X84" s="39">
        <f t="shared" si="43"/>
        <v>214.6</v>
      </c>
      <c r="Y84" s="26">
        <v>2827.4234200000001</v>
      </c>
      <c r="Z84" s="120">
        <v>2597.3000000000002</v>
      </c>
      <c r="AA84" s="39">
        <f t="shared" si="44"/>
        <v>230.1234199999999</v>
      </c>
      <c r="AB84" s="50">
        <f t="shared" si="8"/>
        <v>0.28380226586818258</v>
      </c>
    </row>
    <row r="85" spans="1:28" x14ac:dyDescent="0.25">
      <c r="A85" s="24"/>
      <c r="B85" s="32" t="s">
        <v>114</v>
      </c>
      <c r="C85" s="26">
        <v>0</v>
      </c>
      <c r="D85" s="118"/>
      <c r="E85" s="39">
        <f t="shared" si="0"/>
        <v>0</v>
      </c>
      <c r="F85" s="26"/>
      <c r="G85" s="118"/>
      <c r="H85" s="39">
        <f t="shared" si="38"/>
        <v>0</v>
      </c>
      <c r="I85" s="26"/>
      <c r="J85" s="118"/>
      <c r="K85" s="39">
        <f t="shared" si="39"/>
        <v>0</v>
      </c>
      <c r="L85" s="26"/>
      <c r="M85" s="118"/>
      <c r="N85" s="39">
        <f t="shared" si="40"/>
        <v>0</v>
      </c>
      <c r="O85" s="26">
        <v>17816.400000000001</v>
      </c>
      <c r="P85" s="118"/>
      <c r="Q85" s="39">
        <f t="shared" si="41"/>
        <v>17816.400000000001</v>
      </c>
      <c r="R85" s="50" t="e">
        <f t="shared" si="65"/>
        <v>#DIV/0!</v>
      </c>
      <c r="S85" s="26"/>
      <c r="T85" s="118"/>
      <c r="U85" s="39">
        <f t="shared" si="42"/>
        <v>0</v>
      </c>
      <c r="V85" s="26"/>
      <c r="W85" s="118"/>
      <c r="X85" s="39">
        <f t="shared" si="43"/>
        <v>0</v>
      </c>
      <c r="Y85" s="26">
        <f>17816.4-2153.5</f>
        <v>15662.900000000001</v>
      </c>
      <c r="Z85" s="120"/>
      <c r="AA85" s="39">
        <f t="shared" si="44"/>
        <v>15662.900000000001</v>
      </c>
      <c r="AB85" s="50" t="e">
        <f t="shared" si="8"/>
        <v>#DIV/0!</v>
      </c>
    </row>
    <row r="86" spans="1:28" x14ac:dyDescent="0.25">
      <c r="A86" s="15" t="s">
        <v>115</v>
      </c>
      <c r="B86" s="65" t="s">
        <v>116</v>
      </c>
      <c r="C86" s="49">
        <f>C87+C91+C96+C97+C98+C99</f>
        <v>286804.62480999995</v>
      </c>
      <c r="D86" s="49">
        <f>D87+D91+D96+D97+D98+D99</f>
        <v>91184.104219999994</v>
      </c>
      <c r="E86" s="39">
        <f t="shared" si="0"/>
        <v>195620.52058999997</v>
      </c>
      <c r="F86" s="49">
        <f>F87+F91+F96+F97+F98+F99</f>
        <v>27590.029790000001</v>
      </c>
      <c r="G86" s="49">
        <f>G87+G91+G96+G97+G98+G99</f>
        <v>6115.9768999999997</v>
      </c>
      <c r="H86" s="39">
        <f t="shared" si="38"/>
        <v>21474.052889999999</v>
      </c>
      <c r="I86" s="49">
        <f>I87+I91+I96+I97+I98+I99</f>
        <v>8319.3855700000004</v>
      </c>
      <c r="J86" s="49">
        <f>J87+J91+J96+J97+J98+J99</f>
        <v>207.6850000000004</v>
      </c>
      <c r="K86" s="39">
        <f t="shared" si="39"/>
        <v>8111.70057</v>
      </c>
      <c r="L86" s="49">
        <f>L87+L91+L96+L97+L98+L99</f>
        <v>279445.41519999999</v>
      </c>
      <c r="M86" s="49">
        <f>M87+M91+M96+M97+M98+M99</f>
        <v>43764.4352</v>
      </c>
      <c r="N86" s="39">
        <f t="shared" si="40"/>
        <v>235680.97999999998</v>
      </c>
      <c r="O86" s="49">
        <f>O87+O91+O96+O97+O98+O99</f>
        <v>318390.78090000001</v>
      </c>
      <c r="P86" s="49">
        <f>P87+P91+P96+P97+P98+P99</f>
        <v>82709.800900000002</v>
      </c>
      <c r="Q86" s="39">
        <f t="shared" si="41"/>
        <v>235680.98</v>
      </c>
      <c r="R86" s="50">
        <f t="shared" si="65"/>
        <v>1.204786590328949</v>
      </c>
      <c r="S86" s="49">
        <f>S87+S91+S96+S97+S98+S99</f>
        <v>25635.7837</v>
      </c>
      <c r="T86" s="49">
        <f>T87+T91+T96+T97+T98+T99</f>
        <v>389.56400000000002</v>
      </c>
      <c r="U86" s="39">
        <f t="shared" si="42"/>
        <v>25246.219700000001</v>
      </c>
      <c r="V86" s="49">
        <f>V87+V91+V96+V97+V98+V99</f>
        <v>10545.9</v>
      </c>
      <c r="W86" s="49">
        <f>W87+W91+W96+W97+W98+W99</f>
        <v>44.95</v>
      </c>
      <c r="X86" s="39">
        <f t="shared" si="43"/>
        <v>10500.949999999999</v>
      </c>
      <c r="Y86" s="49">
        <f>Y87+Y91+Y96+Y97+Y98+Y99</f>
        <v>331085.32097</v>
      </c>
      <c r="Z86" s="49">
        <f>Z87+Z91+Z96+Z97+Z98+Z99</f>
        <v>82924.800900000002</v>
      </c>
      <c r="AA86" s="39">
        <f t="shared" si="44"/>
        <v>248160.52007</v>
      </c>
      <c r="AB86" s="50">
        <f t="shared" si="8"/>
        <v>1.268581227171552</v>
      </c>
    </row>
    <row r="87" spans="1:28" ht="38.25" x14ac:dyDescent="0.25">
      <c r="A87" s="24" t="s">
        <v>117</v>
      </c>
      <c r="B87" s="32" t="s">
        <v>118</v>
      </c>
      <c r="C87" s="26">
        <f>C89+C90+245.80229+159.99967+331.46179+653.71911</f>
        <v>83475.529530000014</v>
      </c>
      <c r="D87" s="26"/>
      <c r="E87" s="39">
        <f>C87-D87</f>
        <v>83475.529530000014</v>
      </c>
      <c r="F87" s="26">
        <f>14254.97928</f>
        <v>14254.97928</v>
      </c>
      <c r="G87" s="118"/>
      <c r="H87" s="39">
        <f t="shared" si="38"/>
        <v>14254.97928</v>
      </c>
      <c r="I87" s="26">
        <f>9790.37907+2395.35434+1487.03354+22.129+351.28784+3243.49814+55.157+787.07965+2564.38442+45.061+600.07436-F87</f>
        <v>7086.4590800000005</v>
      </c>
      <c r="J87" s="118"/>
      <c r="K87" s="39">
        <f t="shared" si="39"/>
        <v>7086.4590800000005</v>
      </c>
      <c r="L87" s="26">
        <v>91462.645999999993</v>
      </c>
      <c r="M87" s="118"/>
      <c r="N87" s="39">
        <f t="shared" si="40"/>
        <v>91462.645999999993</v>
      </c>
      <c r="O87" s="26">
        <f>O89+O90+425+300+510+1005</f>
        <v>91437.646000000008</v>
      </c>
      <c r="P87" s="118"/>
      <c r="Q87" s="39">
        <f t="shared" si="41"/>
        <v>91437.646000000008</v>
      </c>
      <c r="R87" s="50">
        <f t="shared" si="65"/>
        <v>1.0953826410545682</v>
      </c>
      <c r="S87" s="26">
        <f>S89+S90+0+0+0+57.575</f>
        <v>17758.69123</v>
      </c>
      <c r="T87" s="118"/>
      <c r="U87" s="39">
        <f t="shared" si="42"/>
        <v>17758.69123</v>
      </c>
      <c r="V87" s="26">
        <f>V89+V90+35.2</f>
        <v>7474.9999999999991</v>
      </c>
      <c r="W87" s="118">
        <f>W89+W90</f>
        <v>0</v>
      </c>
      <c r="X87" s="39">
        <f t="shared" si="43"/>
        <v>7474.9999999999991</v>
      </c>
      <c r="Y87" s="26">
        <f>Y89+Y90+2240</f>
        <v>91437.646000000008</v>
      </c>
      <c r="Z87" s="118">
        <f>Z89+Z90</f>
        <v>0</v>
      </c>
      <c r="AA87" s="39">
        <f t="shared" si="44"/>
        <v>91437.646000000008</v>
      </c>
      <c r="AB87" s="50">
        <f t="shared" si="8"/>
        <v>1.0953826410545682</v>
      </c>
    </row>
    <row r="88" spans="1:28" x14ac:dyDescent="0.25">
      <c r="A88" s="24"/>
      <c r="B88" s="32" t="s">
        <v>17</v>
      </c>
      <c r="C88" s="26"/>
      <c r="D88" s="118"/>
      <c r="E88" s="39"/>
      <c r="F88" s="26"/>
      <c r="G88" s="118"/>
      <c r="H88" s="39"/>
      <c r="I88" s="26"/>
      <c r="J88" s="118"/>
      <c r="K88" s="39"/>
      <c r="L88" s="26"/>
      <c r="M88" s="118"/>
      <c r="N88" s="39"/>
      <c r="O88" s="26"/>
      <c r="P88" s="118"/>
      <c r="Q88" s="39"/>
      <c r="R88" s="50"/>
      <c r="S88" s="26"/>
      <c r="T88" s="118"/>
      <c r="U88" s="39"/>
      <c r="V88" s="26"/>
      <c r="W88" s="118"/>
      <c r="X88" s="39"/>
      <c r="Y88" s="26"/>
      <c r="Z88" s="118"/>
      <c r="AA88" s="39"/>
      <c r="AB88" s="50"/>
    </row>
    <row r="89" spans="1:28" ht="25.5" x14ac:dyDescent="0.25">
      <c r="A89" s="24"/>
      <c r="B89" s="32" t="s">
        <v>119</v>
      </c>
      <c r="C89" s="26">
        <f>4411.08451+11324.7584+38493.48516+9056.59793</f>
        <v>63285.925999999992</v>
      </c>
      <c r="D89" s="118"/>
      <c r="E89" s="39">
        <f>C89-D89</f>
        <v>63285.925999999992</v>
      </c>
      <c r="F89" s="26">
        <f>6419.23129+2269.78189+1002.08883+1669.85714</f>
        <v>11360.959150000001</v>
      </c>
      <c r="G89" s="118"/>
      <c r="H89" s="39">
        <f>F89-G89</f>
        <v>11360.959150000001</v>
      </c>
      <c r="I89" s="26">
        <f>2564.38442+9790.37907+1487.03354+3243.49814-F89</f>
        <v>5724.3360200000006</v>
      </c>
      <c r="J89" s="118"/>
      <c r="K89" s="39">
        <f t="shared" si="39"/>
        <v>5724.3360200000006</v>
      </c>
      <c r="L89" s="26">
        <v>68313.600000000006</v>
      </c>
      <c r="M89" s="118"/>
      <c r="N89" s="39">
        <f t="shared" si="40"/>
        <v>68313.600000000006</v>
      </c>
      <c r="O89" s="26">
        <f>4666.1+10676+12493.2+40478.3</f>
        <v>68313.600000000006</v>
      </c>
      <c r="P89" s="118"/>
      <c r="Q89" s="39">
        <f t="shared" si="41"/>
        <v>68313.600000000006</v>
      </c>
      <c r="R89" s="50">
        <f t="shared" si="65"/>
        <v>1.0794437929216683</v>
      </c>
      <c r="S89" s="26">
        <f>815.56598+2333.32024+2535.93349+8466.89083</f>
        <v>14151.71054</v>
      </c>
      <c r="T89" s="118"/>
      <c r="U89" s="39">
        <f t="shared" si="42"/>
        <v>14151.71054</v>
      </c>
      <c r="V89" s="26">
        <v>5714.2</v>
      </c>
      <c r="W89" s="118"/>
      <c r="X89" s="39">
        <f t="shared" si="43"/>
        <v>5714.2</v>
      </c>
      <c r="Y89" s="26">
        <v>68313.600000000006</v>
      </c>
      <c r="Z89" s="118"/>
      <c r="AA89" s="39">
        <f t="shared" si="44"/>
        <v>68313.600000000006</v>
      </c>
      <c r="AB89" s="50">
        <f t="shared" si="8"/>
        <v>1.0794437929216683</v>
      </c>
    </row>
    <row r="90" spans="1:28" ht="25.5" x14ac:dyDescent="0.25">
      <c r="A90" s="24"/>
      <c r="B90" s="32" t="s">
        <v>120</v>
      </c>
      <c r="C90" s="26">
        <f>1194.64402+3394.51214+11500.05351+2709.411</f>
        <v>18798.62067</v>
      </c>
      <c r="D90" s="118"/>
      <c r="E90" s="39">
        <f>C90-D90</f>
        <v>18798.62067</v>
      </c>
      <c r="F90" s="26">
        <f>394.18983+1590.60552+570.83311+261.10567</f>
        <v>2816.7341299999998</v>
      </c>
      <c r="G90" s="118"/>
      <c r="H90" s="39">
        <f>F90-G90</f>
        <v>2816.7341299999998</v>
      </c>
      <c r="I90" s="26">
        <f>2395.35434+351.28784+787.07965+600.07436-F90</f>
        <v>1317.0620600000002</v>
      </c>
      <c r="J90" s="118"/>
      <c r="K90" s="39">
        <f t="shared" si="39"/>
        <v>1317.0620600000002</v>
      </c>
      <c r="L90" s="26">
        <v>20884.045999999998</v>
      </c>
      <c r="M90" s="118"/>
      <c r="N90" s="39">
        <f t="shared" si="40"/>
        <v>20884.045999999998</v>
      </c>
      <c r="O90" s="26">
        <f>1409.2+3224.2+3772.946+12477.7</f>
        <v>20884.046000000002</v>
      </c>
      <c r="P90" s="118"/>
      <c r="Q90" s="39">
        <f t="shared" si="41"/>
        <v>20884.046000000002</v>
      </c>
      <c r="R90" s="50">
        <f t="shared" si="65"/>
        <v>1.1109350184041988</v>
      </c>
      <c r="S90" s="26">
        <f>2078.33878+593.18167+546.94288+330.94236</f>
        <v>3549.40569</v>
      </c>
      <c r="T90" s="118"/>
      <c r="U90" s="39">
        <f t="shared" si="42"/>
        <v>3549.40569</v>
      </c>
      <c r="V90" s="26">
        <v>1725.6</v>
      </c>
      <c r="W90" s="118"/>
      <c r="X90" s="39">
        <f t="shared" si="43"/>
        <v>1725.6</v>
      </c>
      <c r="Y90" s="26">
        <v>20884.045999999998</v>
      </c>
      <c r="Z90" s="118"/>
      <c r="AA90" s="39">
        <f t="shared" si="44"/>
        <v>20884.045999999998</v>
      </c>
      <c r="AB90" s="50">
        <f t="shared" si="8"/>
        <v>1.1109350184041986</v>
      </c>
    </row>
    <row r="91" spans="1:28" ht="25.5" x14ac:dyDescent="0.25">
      <c r="A91" s="24" t="s">
        <v>121</v>
      </c>
      <c r="B91" s="32" t="s">
        <v>122</v>
      </c>
      <c r="C91" s="26">
        <f>174663.48062+2136.80995+24135.77323+510.606</f>
        <v>201446.66979999997</v>
      </c>
      <c r="D91" s="118">
        <v>91184.104219999994</v>
      </c>
      <c r="E91" s="39">
        <f t="shared" si="0"/>
        <v>110262.56557999998</v>
      </c>
      <c r="F91" s="26">
        <f>13331.96171</f>
        <v>13331.96171</v>
      </c>
      <c r="G91" s="118">
        <f>6115.9769</f>
        <v>6115.9768999999997</v>
      </c>
      <c r="H91" s="39">
        <f>F91-G91</f>
        <v>7215.9848099999999</v>
      </c>
      <c r="I91" s="26">
        <f>14427.3352-F91</f>
        <v>1095.3734899999999</v>
      </c>
      <c r="J91" s="118">
        <f>6323.6619-G91</f>
        <v>207.6850000000004</v>
      </c>
      <c r="K91" s="39">
        <f t="shared" si="39"/>
        <v>887.68848999999955</v>
      </c>
      <c r="L91" s="26">
        <v>187389.46919999999</v>
      </c>
      <c r="M91" s="118">
        <v>43764.4352</v>
      </c>
      <c r="N91" s="39">
        <f t="shared" si="40"/>
        <v>143625.03399999999</v>
      </c>
      <c r="O91" s="26">
        <f>29088.78+1176.454+600.6+195494.0009</f>
        <v>226359.83490000002</v>
      </c>
      <c r="P91" s="118">
        <v>82709.800900000002</v>
      </c>
      <c r="Q91" s="39">
        <f t="shared" si="41"/>
        <v>143650.03400000001</v>
      </c>
      <c r="R91" s="50">
        <f t="shared" si="65"/>
        <v>1.3027996695376733</v>
      </c>
      <c r="S91" s="26">
        <f>790.506+353.135+128.71636+6591.63411</f>
        <v>7863.9914699999999</v>
      </c>
      <c r="T91" s="118">
        <v>389.56400000000002</v>
      </c>
      <c r="U91" s="39">
        <f t="shared" si="42"/>
        <v>7474.4274699999996</v>
      </c>
      <c r="V91" s="26">
        <v>2896.3</v>
      </c>
      <c r="W91" s="118">
        <v>44.95</v>
      </c>
      <c r="X91" s="39">
        <f t="shared" si="43"/>
        <v>2851.3500000000004</v>
      </c>
      <c r="Y91" s="26">
        <f>239054.37497</f>
        <v>239054.37497</v>
      </c>
      <c r="Z91" s="118">
        <v>82924.800900000002</v>
      </c>
      <c r="AA91" s="39">
        <f t="shared" si="44"/>
        <v>156129.57407</v>
      </c>
      <c r="AB91" s="50">
        <f t="shared" si="8"/>
        <v>1.4159798772024912</v>
      </c>
    </row>
    <row r="92" spans="1:28" x14ac:dyDescent="0.25">
      <c r="A92" s="51"/>
      <c r="B92" s="32" t="s">
        <v>7</v>
      </c>
      <c r="C92" s="26"/>
      <c r="D92" s="26"/>
      <c r="E92" s="39"/>
      <c r="F92" s="26"/>
      <c r="G92" s="26"/>
      <c r="H92" s="39"/>
      <c r="I92" s="26"/>
      <c r="J92" s="26"/>
      <c r="K92" s="39"/>
      <c r="L92" s="26"/>
      <c r="M92" s="26"/>
      <c r="N92" s="39"/>
      <c r="O92" s="26"/>
      <c r="P92" s="26"/>
      <c r="Q92" s="39"/>
      <c r="R92" s="50"/>
      <c r="S92" s="26"/>
      <c r="T92" s="26"/>
      <c r="U92" s="39"/>
      <c r="V92" s="26"/>
      <c r="W92" s="26"/>
      <c r="X92" s="39"/>
      <c r="Y92" s="26"/>
      <c r="Z92" s="118"/>
      <c r="AA92" s="39"/>
      <c r="AB92" s="50"/>
    </row>
    <row r="93" spans="1:28" ht="21" customHeight="1" x14ac:dyDescent="0.25">
      <c r="A93" s="24"/>
      <c r="B93" s="32" t="s">
        <v>106</v>
      </c>
      <c r="C93" s="26">
        <f>6640.81698+266.04718+2.44502</f>
        <v>6909.3091799999993</v>
      </c>
      <c r="D93" s="118">
        <v>0</v>
      </c>
      <c r="E93" s="39">
        <f t="shared" ref="E93:E95" si="66">C93-D93</f>
        <v>6909.3091799999993</v>
      </c>
      <c r="F93" s="26">
        <v>2192.8000000000002</v>
      </c>
      <c r="G93" s="153"/>
      <c r="H93" s="39">
        <f t="shared" si="38"/>
        <v>2192.8000000000002</v>
      </c>
      <c r="I93" s="26">
        <f>2918.4-F93</f>
        <v>725.59999999999991</v>
      </c>
      <c r="J93" s="153"/>
      <c r="K93" s="39">
        <f t="shared" ref="K93:K95" si="67">I93-J93</f>
        <v>725.59999999999991</v>
      </c>
      <c r="L93" s="26">
        <v>6725.277</v>
      </c>
      <c r="M93" s="118"/>
      <c r="N93" s="39">
        <f t="shared" ref="N93:N95" si="68">L93-M93</f>
        <v>6725.277</v>
      </c>
      <c r="O93" s="26">
        <f>7135.176+0</f>
        <v>7135.1760000000004</v>
      </c>
      <c r="P93" s="118"/>
      <c r="Q93" s="39">
        <f t="shared" ref="Q93:Q95" si="69">O93-P93</f>
        <v>7135.1760000000004</v>
      </c>
      <c r="R93" s="50"/>
      <c r="S93" s="26">
        <f>1292.249+0</f>
        <v>1292.249</v>
      </c>
      <c r="T93" s="118"/>
      <c r="U93" s="39">
        <f t="shared" ref="U93:U95" si="70">S93-T93</f>
        <v>1292.249</v>
      </c>
      <c r="V93" s="26">
        <v>430.2</v>
      </c>
      <c r="W93" s="118"/>
      <c r="X93" s="39">
        <f t="shared" ref="X93:X95" si="71">V93-W93</f>
        <v>430.2</v>
      </c>
      <c r="Y93" s="26">
        <v>7127.9745499999999</v>
      </c>
      <c r="Z93" s="118">
        <f>0</f>
        <v>0</v>
      </c>
      <c r="AA93" s="39">
        <f t="shared" ref="AA93:AA95" si="72">Y93-Z93</f>
        <v>7127.9745499999999</v>
      </c>
      <c r="AB93" s="50"/>
    </row>
    <row r="94" spans="1:28" ht="25.5" x14ac:dyDescent="0.25">
      <c r="A94" s="24"/>
      <c r="B94" s="32" t="s">
        <v>83</v>
      </c>
      <c r="C94" s="26">
        <f>106949.83598+3219.50333+845.03755</f>
        <v>111014.37686</v>
      </c>
      <c r="D94" s="118">
        <f>63781.3</f>
        <v>63781.3</v>
      </c>
      <c r="E94" s="39">
        <f t="shared" si="66"/>
        <v>47233.076860000001</v>
      </c>
      <c r="F94" s="26">
        <f>928.5+6959.68263</f>
        <v>7888.1826300000002</v>
      </c>
      <c r="G94" s="153">
        <f>6014.8629</f>
        <v>6014.8629000000001</v>
      </c>
      <c r="H94" s="39">
        <f t="shared" si="38"/>
        <v>1873.3197300000002</v>
      </c>
      <c r="I94" s="26">
        <f>955.1+6959.68263-F94</f>
        <v>26.600000000000364</v>
      </c>
      <c r="J94" s="153">
        <f>6014.8629-G94</f>
        <v>0</v>
      </c>
      <c r="K94" s="39">
        <f t="shared" si="67"/>
        <v>26.600000000000364</v>
      </c>
      <c r="L94" s="26">
        <v>129158.209</v>
      </c>
      <c r="M94" s="118">
        <v>40631.4</v>
      </c>
      <c r="N94" s="39">
        <f t="shared" si="68"/>
        <v>88526.809000000008</v>
      </c>
      <c r="O94" s="26">
        <f>6344.577+105877</f>
        <v>112221.577</v>
      </c>
      <c r="P94" s="118">
        <f>40631</f>
        <v>40631</v>
      </c>
      <c r="Q94" s="39">
        <f t="shared" si="69"/>
        <v>71590.577000000005</v>
      </c>
      <c r="R94" s="50">
        <f t="shared" ref="R94:R95" si="73">Q94/E94</f>
        <v>1.5156873479192607</v>
      </c>
      <c r="S94" s="26">
        <f>84.938+0</f>
        <v>84.938000000000002</v>
      </c>
      <c r="T94" s="118"/>
      <c r="U94" s="39">
        <f t="shared" si="70"/>
        <v>84.938000000000002</v>
      </c>
      <c r="V94" s="26">
        <v>115.9</v>
      </c>
      <c r="W94" s="118"/>
      <c r="X94" s="39">
        <f t="shared" si="71"/>
        <v>115.9</v>
      </c>
      <c r="Y94" s="26">
        <v>207668.26785</v>
      </c>
      <c r="Z94" s="118">
        <f>79557.1409</f>
        <v>79557.140899999999</v>
      </c>
      <c r="AA94" s="39">
        <f t="shared" si="72"/>
        <v>128111.12695000001</v>
      </c>
      <c r="AB94" s="50">
        <f t="shared" ref="AB94:AB95" si="74">AA94/E94</f>
        <v>2.7123180505416689</v>
      </c>
    </row>
    <row r="95" spans="1:28" ht="25.5" x14ac:dyDescent="0.25">
      <c r="A95" s="24"/>
      <c r="B95" s="32" t="s">
        <v>84</v>
      </c>
      <c r="C95" s="26">
        <f>4090.12+447.308+1439.55332</f>
        <v>5976.9813199999999</v>
      </c>
      <c r="D95" s="118">
        <v>0</v>
      </c>
      <c r="E95" s="39">
        <f t="shared" si="66"/>
        <v>5976.9813199999999</v>
      </c>
      <c r="F95" s="26">
        <v>450</v>
      </c>
      <c r="G95" s="153"/>
      <c r="H95" s="39">
        <f t="shared" si="38"/>
        <v>450</v>
      </c>
      <c r="I95" s="26">
        <f>497.7-F95</f>
        <v>47.699999999999989</v>
      </c>
      <c r="J95" s="153"/>
      <c r="K95" s="39">
        <f t="shared" si="67"/>
        <v>47.699999999999989</v>
      </c>
      <c r="L95" s="26">
        <v>6999.97</v>
      </c>
      <c r="M95" s="118"/>
      <c r="N95" s="39">
        <f t="shared" si="68"/>
        <v>6999.97</v>
      </c>
      <c r="O95" s="26">
        <f>320.811+461</f>
        <v>781.81099999999992</v>
      </c>
      <c r="P95" s="118">
        <v>73</v>
      </c>
      <c r="Q95" s="39">
        <f t="shared" si="69"/>
        <v>708.81099999999992</v>
      </c>
      <c r="R95" s="50">
        <f t="shared" si="73"/>
        <v>0.11859013138090248</v>
      </c>
      <c r="S95" s="26">
        <f>16.514+187.038</f>
        <v>203.55200000000002</v>
      </c>
      <c r="T95" s="118">
        <v>0</v>
      </c>
      <c r="U95" s="39">
        <f t="shared" si="70"/>
        <v>203.55200000000002</v>
      </c>
      <c r="V95" s="26">
        <v>3.5</v>
      </c>
      <c r="W95" s="118"/>
      <c r="X95" s="39">
        <f t="shared" si="71"/>
        <v>3.5</v>
      </c>
      <c r="Y95" s="26">
        <v>1186.828</v>
      </c>
      <c r="Z95" s="118">
        <v>15.364000000000001</v>
      </c>
      <c r="AA95" s="39">
        <f t="shared" si="72"/>
        <v>1171.4639999999999</v>
      </c>
      <c r="AB95" s="50">
        <f t="shared" si="74"/>
        <v>0.19599592792436565</v>
      </c>
    </row>
    <row r="96" spans="1:28" ht="25.5" x14ac:dyDescent="0.25">
      <c r="A96" s="24" t="s">
        <v>123</v>
      </c>
      <c r="B96" s="32" t="s">
        <v>124</v>
      </c>
      <c r="C96" s="26">
        <v>0</v>
      </c>
      <c r="D96" s="118"/>
      <c r="E96" s="39">
        <f t="shared" si="0"/>
        <v>0</v>
      </c>
      <c r="F96" s="26"/>
      <c r="G96" s="118"/>
      <c r="H96" s="39">
        <f t="shared" si="38"/>
        <v>0</v>
      </c>
      <c r="I96" s="26"/>
      <c r="J96" s="118"/>
      <c r="K96" s="39">
        <f t="shared" si="39"/>
        <v>0</v>
      </c>
      <c r="L96" s="26"/>
      <c r="M96" s="118"/>
      <c r="N96" s="39">
        <f t="shared" si="40"/>
        <v>0</v>
      </c>
      <c r="O96" s="26"/>
      <c r="P96" s="118"/>
      <c r="Q96" s="39">
        <f t="shared" si="41"/>
        <v>0</v>
      </c>
      <c r="R96" s="50" t="e">
        <f t="shared" si="65"/>
        <v>#DIV/0!</v>
      </c>
      <c r="S96" s="26"/>
      <c r="T96" s="118"/>
      <c r="U96" s="39">
        <f t="shared" si="42"/>
        <v>0</v>
      </c>
      <c r="V96" s="26"/>
      <c r="W96" s="118"/>
      <c r="X96" s="39">
        <f t="shared" si="43"/>
        <v>0</v>
      </c>
      <c r="Y96" s="26"/>
      <c r="Z96" s="118"/>
      <c r="AA96" s="39">
        <f t="shared" si="44"/>
        <v>0</v>
      </c>
      <c r="AB96" s="50" t="e">
        <f t="shared" si="8"/>
        <v>#DIV/0!</v>
      </c>
    </row>
    <row r="97" spans="1:28" ht="25.5" x14ac:dyDescent="0.25">
      <c r="A97" s="24" t="s">
        <v>125</v>
      </c>
      <c r="B97" s="32" t="s">
        <v>126</v>
      </c>
      <c r="C97" s="26">
        <v>0</v>
      </c>
      <c r="D97" s="118"/>
      <c r="E97" s="39">
        <f t="shared" si="0"/>
        <v>0</v>
      </c>
      <c r="F97" s="26"/>
      <c r="G97" s="118"/>
      <c r="H97" s="39">
        <f t="shared" si="38"/>
        <v>0</v>
      </c>
      <c r="I97" s="26"/>
      <c r="J97" s="118"/>
      <c r="K97" s="39">
        <f t="shared" si="39"/>
        <v>0</v>
      </c>
      <c r="L97" s="26"/>
      <c r="M97" s="118"/>
      <c r="N97" s="39">
        <f t="shared" si="40"/>
        <v>0</v>
      </c>
      <c r="O97" s="26"/>
      <c r="P97" s="118"/>
      <c r="Q97" s="39">
        <f t="shared" si="41"/>
        <v>0</v>
      </c>
      <c r="R97" s="50" t="e">
        <f t="shared" si="65"/>
        <v>#DIV/0!</v>
      </c>
      <c r="S97" s="26"/>
      <c r="T97" s="118"/>
      <c r="U97" s="39">
        <f t="shared" si="42"/>
        <v>0</v>
      </c>
      <c r="V97" s="26"/>
      <c r="W97" s="118"/>
      <c r="X97" s="39">
        <f t="shared" si="43"/>
        <v>0</v>
      </c>
      <c r="Y97" s="26"/>
      <c r="Z97" s="118"/>
      <c r="AA97" s="39">
        <f t="shared" si="44"/>
        <v>0</v>
      </c>
      <c r="AB97" s="50" t="e">
        <f t="shared" si="8"/>
        <v>#DIV/0!</v>
      </c>
    </row>
    <row r="98" spans="1:28" x14ac:dyDescent="0.25">
      <c r="A98" s="24" t="s">
        <v>127</v>
      </c>
      <c r="B98" s="32" t="s">
        <v>90</v>
      </c>
      <c r="C98" s="26"/>
      <c r="D98" s="118"/>
      <c r="E98" s="39">
        <f t="shared" si="0"/>
        <v>0</v>
      </c>
      <c r="F98" s="26"/>
      <c r="G98" s="118"/>
      <c r="H98" s="39">
        <f t="shared" si="38"/>
        <v>0</v>
      </c>
      <c r="I98" s="26"/>
      <c r="J98" s="118"/>
      <c r="K98" s="39">
        <f t="shared" si="39"/>
        <v>0</v>
      </c>
      <c r="L98" s="26"/>
      <c r="M98" s="118"/>
      <c r="N98" s="39">
        <f t="shared" si="40"/>
        <v>0</v>
      </c>
      <c r="O98" s="26"/>
      <c r="P98" s="118"/>
      <c r="Q98" s="39">
        <f t="shared" si="41"/>
        <v>0</v>
      </c>
      <c r="R98" s="50" t="e">
        <f t="shared" si="65"/>
        <v>#DIV/0!</v>
      </c>
      <c r="S98" s="26"/>
      <c r="T98" s="118"/>
      <c r="U98" s="39">
        <f t="shared" si="42"/>
        <v>0</v>
      </c>
      <c r="V98" s="26"/>
      <c r="W98" s="118"/>
      <c r="X98" s="39">
        <f t="shared" si="43"/>
        <v>0</v>
      </c>
      <c r="Y98" s="26"/>
      <c r="Z98" s="118"/>
      <c r="AA98" s="39">
        <f t="shared" si="44"/>
        <v>0</v>
      </c>
      <c r="AB98" s="50" t="e">
        <f t="shared" si="8"/>
        <v>#DIV/0!</v>
      </c>
    </row>
    <row r="99" spans="1:28" x14ac:dyDescent="0.25">
      <c r="A99" s="24" t="s">
        <v>128</v>
      </c>
      <c r="B99" s="32" t="s">
        <v>129</v>
      </c>
      <c r="C99" s="26">
        <f>C101+C102+C103</f>
        <v>1882.4254799999999</v>
      </c>
      <c r="D99" s="120">
        <f>D101+D102+D103</f>
        <v>0</v>
      </c>
      <c r="E99" s="39">
        <f t="shared" si="0"/>
        <v>1882.4254799999999</v>
      </c>
      <c r="F99" s="26">
        <f>F101+F102+F103</f>
        <v>3.0888</v>
      </c>
      <c r="G99" s="120"/>
      <c r="H99" s="39">
        <f t="shared" si="38"/>
        <v>3.0888</v>
      </c>
      <c r="I99" s="26">
        <f>I101+I102+I103</f>
        <v>137.553</v>
      </c>
      <c r="J99" s="120"/>
      <c r="K99" s="39">
        <f t="shared" si="39"/>
        <v>137.553</v>
      </c>
      <c r="L99" s="26">
        <f>L101+L102+L103</f>
        <v>593.29999999999995</v>
      </c>
      <c r="M99" s="120">
        <f>M101+M102+M103</f>
        <v>0</v>
      </c>
      <c r="N99" s="39">
        <f t="shared" si="40"/>
        <v>593.29999999999995</v>
      </c>
      <c r="O99" s="26">
        <f>O101+O102+O103</f>
        <v>593.30000000000007</v>
      </c>
      <c r="P99" s="120"/>
      <c r="Q99" s="39">
        <f t="shared" si="41"/>
        <v>593.30000000000007</v>
      </c>
      <c r="R99" s="50">
        <f t="shared" si="65"/>
        <v>0.31517847920333086</v>
      </c>
      <c r="S99" s="26">
        <f>S101+S102+S103</f>
        <v>13.101000000000001</v>
      </c>
      <c r="T99" s="120"/>
      <c r="U99" s="39">
        <f t="shared" si="42"/>
        <v>13.101000000000001</v>
      </c>
      <c r="V99" s="26">
        <f>V101+V102+V103</f>
        <v>174.6</v>
      </c>
      <c r="W99" s="120"/>
      <c r="X99" s="39">
        <f t="shared" si="43"/>
        <v>174.6</v>
      </c>
      <c r="Y99" s="26">
        <f>Y101+Y102+Y103</f>
        <v>593.29999999999995</v>
      </c>
      <c r="Z99" s="118">
        <f>Z101+Z102+Z103</f>
        <v>0</v>
      </c>
      <c r="AA99" s="39">
        <f t="shared" si="44"/>
        <v>593.29999999999995</v>
      </c>
      <c r="AB99" s="50">
        <f t="shared" si="8"/>
        <v>0.31517847920333081</v>
      </c>
    </row>
    <row r="100" spans="1:28" x14ac:dyDescent="0.25">
      <c r="A100" s="24"/>
      <c r="B100" s="32" t="s">
        <v>17</v>
      </c>
      <c r="C100" s="26"/>
      <c r="D100" s="120"/>
      <c r="E100" s="39"/>
      <c r="F100" s="26"/>
      <c r="G100" s="120"/>
      <c r="H100" s="39"/>
      <c r="I100" s="26"/>
      <c r="J100" s="120"/>
      <c r="K100" s="39"/>
      <c r="L100" s="26"/>
      <c r="M100" s="120"/>
      <c r="N100" s="39"/>
      <c r="O100" s="26"/>
      <c r="P100" s="120"/>
      <c r="Q100" s="39"/>
      <c r="R100" s="50"/>
      <c r="S100" s="26"/>
      <c r="T100" s="120"/>
      <c r="U100" s="39"/>
      <c r="V100" s="26"/>
      <c r="W100" s="120"/>
      <c r="X100" s="39"/>
      <c r="Y100" s="26"/>
      <c r="Z100" s="118"/>
      <c r="AA100" s="39"/>
      <c r="AB100" s="50"/>
    </row>
    <row r="101" spans="1:28" ht="76.5" x14ac:dyDescent="0.25">
      <c r="A101" s="24"/>
      <c r="B101" s="32" t="s">
        <v>130</v>
      </c>
      <c r="C101" s="26">
        <v>0</v>
      </c>
      <c r="D101" s="120"/>
      <c r="E101" s="39">
        <f t="shared" ref="E101:E104" si="75">C101-D101</f>
        <v>0</v>
      </c>
      <c r="F101" s="26">
        <v>0</v>
      </c>
      <c r="G101" s="120"/>
      <c r="H101" s="39">
        <f t="shared" ref="H101:H103" si="76">F101-G101</f>
        <v>0</v>
      </c>
      <c r="I101" s="26"/>
      <c r="J101" s="120"/>
      <c r="K101" s="39">
        <f t="shared" ref="K101:K103" si="77">I101-J101</f>
        <v>0</v>
      </c>
      <c r="L101" s="26"/>
      <c r="M101" s="120"/>
      <c r="N101" s="39">
        <f t="shared" ref="N101:N103" si="78">L101-M101</f>
        <v>0</v>
      </c>
      <c r="O101" s="26"/>
      <c r="P101" s="120"/>
      <c r="Q101" s="39">
        <f t="shared" ref="Q101:Q103" si="79">O101-P101</f>
        <v>0</v>
      </c>
      <c r="R101" s="50" t="e">
        <f t="shared" si="65"/>
        <v>#DIV/0!</v>
      </c>
      <c r="S101" s="26"/>
      <c r="T101" s="120"/>
      <c r="U101" s="39">
        <f t="shared" ref="U101:U103" si="80">S101-T101</f>
        <v>0</v>
      </c>
      <c r="V101" s="26">
        <v>0</v>
      </c>
      <c r="W101" s="120"/>
      <c r="X101" s="39">
        <f t="shared" ref="X101:X103" si="81">V101-W101</f>
        <v>0</v>
      </c>
      <c r="Y101" s="26">
        <v>0</v>
      </c>
      <c r="Z101" s="118"/>
      <c r="AA101" s="39">
        <f t="shared" ref="AA101:AA103" si="82">Y101-Z101</f>
        <v>0</v>
      </c>
      <c r="AB101" s="50" t="e">
        <f t="shared" ref="AB101:AB147" si="83">AA101/E101</f>
        <v>#DIV/0!</v>
      </c>
    </row>
    <row r="102" spans="1:28" ht="25.5" x14ac:dyDescent="0.25">
      <c r="A102" s="24"/>
      <c r="B102" s="32" t="s">
        <v>131</v>
      </c>
      <c r="C102" s="26">
        <v>2</v>
      </c>
      <c r="D102" s="120"/>
      <c r="E102" s="39">
        <f t="shared" si="75"/>
        <v>2</v>
      </c>
      <c r="F102" s="26">
        <v>0</v>
      </c>
      <c r="G102" s="120"/>
      <c r="H102" s="39">
        <f t="shared" si="76"/>
        <v>0</v>
      </c>
      <c r="I102" s="26"/>
      <c r="J102" s="120"/>
      <c r="K102" s="39">
        <f t="shared" si="77"/>
        <v>0</v>
      </c>
      <c r="L102" s="26"/>
      <c r="M102" s="120"/>
      <c r="N102" s="39">
        <f t="shared" si="78"/>
        <v>0</v>
      </c>
      <c r="O102" s="26"/>
      <c r="P102" s="120"/>
      <c r="Q102" s="39">
        <f t="shared" si="79"/>
        <v>0</v>
      </c>
      <c r="R102" s="50">
        <f t="shared" si="65"/>
        <v>0</v>
      </c>
      <c r="S102" s="26"/>
      <c r="T102" s="120"/>
      <c r="U102" s="39">
        <f t="shared" si="80"/>
        <v>0</v>
      </c>
      <c r="V102" s="26"/>
      <c r="W102" s="120"/>
      <c r="X102" s="39">
        <f t="shared" si="81"/>
        <v>0</v>
      </c>
      <c r="Y102" s="26">
        <v>0</v>
      </c>
      <c r="Z102" s="118"/>
      <c r="AA102" s="39">
        <f t="shared" si="82"/>
        <v>0</v>
      </c>
      <c r="AB102" s="50">
        <f t="shared" si="83"/>
        <v>0</v>
      </c>
    </row>
    <row r="103" spans="1:28" ht="25.5" x14ac:dyDescent="0.25">
      <c r="A103" s="24"/>
      <c r="B103" s="32" t="s">
        <v>132</v>
      </c>
      <c r="C103" s="26">
        <f>0+563.10572+5.90108+1311.41868</f>
        <v>1880.4254799999999</v>
      </c>
      <c r="D103" s="120"/>
      <c r="E103" s="39">
        <f t="shared" si="75"/>
        <v>1880.4254799999999</v>
      </c>
      <c r="F103" s="26">
        <f>3.0888</f>
        <v>3.0888</v>
      </c>
      <c r="G103" s="120"/>
      <c r="H103" s="39">
        <f t="shared" si="76"/>
        <v>3.0888</v>
      </c>
      <c r="I103" s="26">
        <f>138.56072+2.08108+0-F103</f>
        <v>137.553</v>
      </c>
      <c r="J103" s="120"/>
      <c r="K103" s="39">
        <f t="shared" si="77"/>
        <v>137.553</v>
      </c>
      <c r="L103" s="26">
        <v>593.29999999999995</v>
      </c>
      <c r="M103" s="120"/>
      <c r="N103" s="39">
        <f t="shared" si="78"/>
        <v>593.29999999999995</v>
      </c>
      <c r="O103" s="26">
        <f>15+5.2+573.1</f>
        <v>593.30000000000007</v>
      </c>
      <c r="P103" s="120"/>
      <c r="Q103" s="39">
        <f t="shared" si="79"/>
        <v>593.30000000000007</v>
      </c>
      <c r="R103" s="50">
        <f t="shared" si="65"/>
        <v>0.31551369959100967</v>
      </c>
      <c r="S103" s="26">
        <f>13.101+0</f>
        <v>13.101000000000001</v>
      </c>
      <c r="T103" s="120"/>
      <c r="U103" s="39">
        <f t="shared" si="80"/>
        <v>13.101000000000001</v>
      </c>
      <c r="V103" s="26">
        <v>174.6</v>
      </c>
      <c r="W103" s="120"/>
      <c r="X103" s="39">
        <f t="shared" si="81"/>
        <v>174.6</v>
      </c>
      <c r="Y103" s="26">
        <v>593.29999999999995</v>
      </c>
      <c r="Z103" s="118">
        <f t="shared" ref="Z103" si="84">P103</f>
        <v>0</v>
      </c>
      <c r="AA103" s="39">
        <f t="shared" si="82"/>
        <v>593.29999999999995</v>
      </c>
      <c r="AB103" s="50">
        <f t="shared" si="83"/>
        <v>0.31551369959100956</v>
      </c>
    </row>
    <row r="104" spans="1:28" x14ac:dyDescent="0.25">
      <c r="A104" s="66"/>
      <c r="B104" s="12" t="s">
        <v>133</v>
      </c>
      <c r="C104" s="67">
        <f>C51</f>
        <v>3156519.8926999997</v>
      </c>
      <c r="D104" s="67">
        <f t="shared" ref="D104" si="85">D51</f>
        <v>1705867.6670299999</v>
      </c>
      <c r="E104" s="13">
        <f t="shared" si="75"/>
        <v>1450652.2256699998</v>
      </c>
      <c r="F104" s="67">
        <f>F51</f>
        <v>565799.45546000008</v>
      </c>
      <c r="G104" s="67">
        <f t="shared" ref="G104" si="86">G51</f>
        <v>337121.91876999999</v>
      </c>
      <c r="H104" s="13">
        <f t="shared" si="38"/>
        <v>228677.5366900001</v>
      </c>
      <c r="I104" s="67">
        <f>I51</f>
        <v>191606.39696999994</v>
      </c>
      <c r="J104" s="67">
        <f t="shared" ref="J104" si="87">J51</f>
        <v>79115.922490000026</v>
      </c>
      <c r="K104" s="13">
        <f t="shared" si="39"/>
        <v>112490.47447999992</v>
      </c>
      <c r="L104" s="67">
        <f>L51</f>
        <v>3360107.6049800003</v>
      </c>
      <c r="M104" s="67">
        <f t="shared" ref="M104" si="88">M51</f>
        <v>1804128.5594500001</v>
      </c>
      <c r="N104" s="13">
        <f t="shared" si="40"/>
        <v>1555979.0455300002</v>
      </c>
      <c r="O104" s="67">
        <f>O51</f>
        <v>3646906.8813700001</v>
      </c>
      <c r="P104" s="67">
        <f t="shared" ref="P104" si="89">P51</f>
        <v>2090927.8358400001</v>
      </c>
      <c r="Q104" s="13">
        <f t="shared" si="41"/>
        <v>1555979.04553</v>
      </c>
      <c r="R104" s="14">
        <f>Q104/E104</f>
        <v>1.0726065269098897</v>
      </c>
      <c r="S104" s="67">
        <f>S51</f>
        <v>575204.65350999997</v>
      </c>
      <c r="T104" s="67">
        <f t="shared" ref="T104" si="90">T51</f>
        <v>343180.60852000001</v>
      </c>
      <c r="U104" s="13">
        <f t="shared" si="42"/>
        <v>232024.04498999997</v>
      </c>
      <c r="V104" s="67">
        <f>V51</f>
        <v>240430.47615999999</v>
      </c>
      <c r="W104" s="67">
        <f t="shared" ref="W104" si="91">W51</f>
        <v>101350.34999999999</v>
      </c>
      <c r="X104" s="13">
        <f t="shared" si="43"/>
        <v>139080.12615999999</v>
      </c>
      <c r="Y104" s="67">
        <f>Y51</f>
        <v>3869246.1183099998</v>
      </c>
      <c r="Z104" s="67">
        <f t="shared" ref="Z104" si="92">Z51</f>
        <v>2252070.5754300002</v>
      </c>
      <c r="AA104" s="13">
        <f t="shared" si="44"/>
        <v>1617175.5428799996</v>
      </c>
      <c r="AB104" s="14">
        <f t="shared" si="83"/>
        <v>1.1147920323446849</v>
      </c>
    </row>
    <row r="105" spans="1:28" x14ac:dyDescent="0.25">
      <c r="A105" s="40"/>
      <c r="B105" s="68" t="s">
        <v>134</v>
      </c>
      <c r="C105" s="69">
        <f t="shared" ref="C105:I105" si="93">C50-C51</f>
        <v>37541.514310000464</v>
      </c>
      <c r="D105" s="69">
        <f t="shared" si="93"/>
        <v>-6361.1195699998643</v>
      </c>
      <c r="E105" s="69">
        <f t="shared" si="93"/>
        <v>43902.633880000329</v>
      </c>
      <c r="F105" s="69">
        <f t="shared" si="93"/>
        <v>12196.586069999845</v>
      </c>
      <c r="G105" s="69">
        <f t="shared" si="93"/>
        <v>-3917.7719400000642</v>
      </c>
      <c r="H105" s="69">
        <f t="shared" si="93"/>
        <v>16114.358009999909</v>
      </c>
      <c r="I105" s="69">
        <f t="shared" si="93"/>
        <v>30565.71543000004</v>
      </c>
      <c r="J105" s="69">
        <f>J50-J51</f>
        <v>23919.976119999978</v>
      </c>
      <c r="K105" s="69">
        <f>I105-J105</f>
        <v>6645.7393100000627</v>
      </c>
      <c r="L105" s="69">
        <f>L50-L51</f>
        <v>-135901.40453000041</v>
      </c>
      <c r="M105" s="69">
        <f>M50-M51</f>
        <v>0</v>
      </c>
      <c r="N105" s="69">
        <f>N50-N51</f>
        <v>-135901.40453000017</v>
      </c>
      <c r="O105" s="69">
        <f>O50-O51</f>
        <v>-422700.68092000019</v>
      </c>
      <c r="P105" s="69">
        <f t="shared" ref="P105:Q105" si="94">P50-P51</f>
        <v>-286799.27639000025</v>
      </c>
      <c r="Q105" s="69">
        <f t="shared" si="94"/>
        <v>-135901.40452999994</v>
      </c>
      <c r="R105" s="69"/>
      <c r="S105" s="69">
        <f t="shared" ref="S105:Z105" si="95">S50-S51</f>
        <v>12480.525930000003</v>
      </c>
      <c r="T105" s="69">
        <f t="shared" si="95"/>
        <v>10640.026750000019</v>
      </c>
      <c r="U105" s="69">
        <f>S105-T105</f>
        <v>1840.4991799999843</v>
      </c>
      <c r="V105" s="69">
        <f t="shared" si="95"/>
        <v>-13398.904865999968</v>
      </c>
      <c r="W105" s="69">
        <f t="shared" si="95"/>
        <v>-554.04999999998836</v>
      </c>
      <c r="X105" s="69">
        <f>V105-W105</f>
        <v>-12844.85486599998</v>
      </c>
      <c r="Y105" s="69">
        <f t="shared" si="95"/>
        <v>-189911.73665999994</v>
      </c>
      <c r="Z105" s="69">
        <f t="shared" si="95"/>
        <v>-1274.7539999997243</v>
      </c>
      <c r="AA105" s="69">
        <f>Y105-Z105</f>
        <v>-188636.98266000021</v>
      </c>
      <c r="AB105" s="19"/>
    </row>
    <row r="106" spans="1:28" s="105" customFormat="1" ht="22.5" x14ac:dyDescent="0.25">
      <c r="A106" s="110"/>
      <c r="B106" s="111" t="s">
        <v>135</v>
      </c>
      <c r="C106" s="70">
        <v>37541.520470000003</v>
      </c>
      <c r="D106" s="70">
        <v>-784.34262000000001</v>
      </c>
      <c r="E106" s="70"/>
      <c r="F106" s="70">
        <f>12196.5922</f>
        <v>12196.592199999999</v>
      </c>
      <c r="G106" s="70">
        <f>-3917.77194</f>
        <v>-3917.7719400000001</v>
      </c>
      <c r="H106" s="70"/>
      <c r="I106" s="70">
        <f>42758.44976-F106</f>
        <v>30561.857560000004</v>
      </c>
      <c r="J106" s="70">
        <f>20002.20418-G106</f>
        <v>23919.976119999999</v>
      </c>
      <c r="K106" s="70"/>
      <c r="L106" s="72"/>
      <c r="M106" s="121"/>
      <c r="N106" s="71"/>
      <c r="O106" s="72">
        <v>-135901.40497999999</v>
      </c>
      <c r="P106" s="121">
        <v>-286779.27639000001</v>
      </c>
      <c r="Q106" s="72">
        <f>O106-P106</f>
        <v>150877.87141000002</v>
      </c>
      <c r="R106" s="73"/>
      <c r="S106" s="70">
        <v>12480.52593</v>
      </c>
      <c r="T106" s="70">
        <v>10640.026750000001</v>
      </c>
      <c r="U106" s="129">
        <f>S106-T106</f>
        <v>1840.4991799999989</v>
      </c>
      <c r="V106" s="70"/>
      <c r="W106" s="70"/>
      <c r="X106" s="70"/>
      <c r="Y106" s="70"/>
      <c r="Z106" s="70"/>
      <c r="AA106" s="70"/>
      <c r="AB106" s="73"/>
    </row>
    <row r="107" spans="1:28" ht="26.25" x14ac:dyDescent="0.25">
      <c r="A107" s="15" t="s">
        <v>136</v>
      </c>
      <c r="B107" s="74" t="s">
        <v>137</v>
      </c>
      <c r="C107" s="49">
        <f>C109+C110+C115+C118</f>
        <v>-37541.514310000464</v>
      </c>
      <c r="D107" s="49" t="s">
        <v>138</v>
      </c>
      <c r="E107" s="69" t="s">
        <v>138</v>
      </c>
      <c r="F107" s="49">
        <f>F109+F110+F115+F118</f>
        <v>-12196.586069999845</v>
      </c>
      <c r="G107" s="49" t="s">
        <v>138</v>
      </c>
      <c r="H107" s="49" t="s">
        <v>138</v>
      </c>
      <c r="I107" s="49">
        <f>I109+I110+I115+I118</f>
        <v>-30565.71543000004</v>
      </c>
      <c r="J107" s="49" t="s">
        <v>138</v>
      </c>
      <c r="K107" s="49" t="s">
        <v>138</v>
      </c>
      <c r="L107" s="122">
        <f>L109+L110+L115+L118</f>
        <v>135901.40453000041</v>
      </c>
      <c r="M107" s="49" t="s">
        <v>138</v>
      </c>
      <c r="N107" s="49" t="s">
        <v>138</v>
      </c>
      <c r="O107" s="122">
        <f>O109+O110+O115+O118</f>
        <v>422700.68092000019</v>
      </c>
      <c r="P107" s="49" t="s">
        <v>138</v>
      </c>
      <c r="Q107" s="49" t="s">
        <v>138</v>
      </c>
      <c r="R107" s="19"/>
      <c r="S107" s="49">
        <f>S109+S110+S115+S118</f>
        <v>-12480.525930000003</v>
      </c>
      <c r="T107" s="49" t="s">
        <v>138</v>
      </c>
      <c r="U107" s="49" t="s">
        <v>138</v>
      </c>
      <c r="V107" s="49">
        <f>V109+V110+V115+V118</f>
        <v>13398.904865999968</v>
      </c>
      <c r="W107" s="123" t="s">
        <v>138</v>
      </c>
      <c r="X107" s="123" t="s">
        <v>138</v>
      </c>
      <c r="Y107" s="49">
        <f>Y109+Y110+Y115+Y118</f>
        <v>189911.73665999994</v>
      </c>
      <c r="Z107" s="49" t="s">
        <v>138</v>
      </c>
      <c r="AA107" s="49" t="s">
        <v>138</v>
      </c>
      <c r="AB107" s="19"/>
    </row>
    <row r="108" spans="1:28" x14ac:dyDescent="0.25">
      <c r="A108" s="15"/>
      <c r="B108" s="25" t="s">
        <v>17</v>
      </c>
      <c r="C108" s="49"/>
      <c r="D108" s="49"/>
      <c r="E108" s="69"/>
      <c r="F108" s="49"/>
      <c r="G108" s="49"/>
      <c r="H108" s="49"/>
      <c r="I108" s="49"/>
      <c r="J108" s="49"/>
      <c r="K108" s="49"/>
      <c r="L108" s="116"/>
      <c r="M108" s="49"/>
      <c r="N108" s="49"/>
      <c r="O108" s="116"/>
      <c r="P108" s="49"/>
      <c r="Q108" s="49"/>
      <c r="R108" s="19"/>
      <c r="S108" s="116"/>
      <c r="T108" s="49"/>
      <c r="U108" s="49"/>
      <c r="V108" s="116"/>
      <c r="W108" s="116"/>
      <c r="X108" s="116"/>
      <c r="Y108" s="116"/>
      <c r="Z108" s="49"/>
      <c r="AA108" s="49"/>
      <c r="AB108" s="19"/>
    </row>
    <row r="109" spans="1:28" x14ac:dyDescent="0.25">
      <c r="A109" s="15" t="s">
        <v>139</v>
      </c>
      <c r="B109" s="74" t="s">
        <v>140</v>
      </c>
      <c r="C109" s="49">
        <f>C104-C50-C115-C110-C118</f>
        <v>-87626.683660000461</v>
      </c>
      <c r="D109" s="49" t="s">
        <v>138</v>
      </c>
      <c r="E109" s="69" t="s">
        <v>138</v>
      </c>
      <c r="F109" s="49">
        <f>F104-F50-F115-F110-F118</f>
        <v>-11564.639119999845</v>
      </c>
      <c r="G109" s="49" t="s">
        <v>138</v>
      </c>
      <c r="H109" s="49" t="s">
        <v>138</v>
      </c>
      <c r="I109" s="49">
        <f>I104-I50-I115-I110-I118</f>
        <v>-7336.9682700000412</v>
      </c>
      <c r="J109" s="49" t="s">
        <v>138</v>
      </c>
      <c r="K109" s="49" t="s">
        <v>138</v>
      </c>
      <c r="L109" s="122">
        <f>L104-L50-L115-L110-L118</f>
        <v>22001.404530000407</v>
      </c>
      <c r="M109" s="122" t="s">
        <v>138</v>
      </c>
      <c r="N109" s="122" t="s">
        <v>138</v>
      </c>
      <c r="O109" s="122">
        <f>O104-O50-O115-O110-O118</f>
        <v>308800.68092000019</v>
      </c>
      <c r="P109" s="49" t="s">
        <v>138</v>
      </c>
      <c r="Q109" s="49" t="s">
        <v>138</v>
      </c>
      <c r="R109" s="19"/>
      <c r="S109" s="49">
        <f>S104-S50-S115-S110-S118</f>
        <v>6349.0269199999966</v>
      </c>
      <c r="T109" s="49" t="s">
        <v>138</v>
      </c>
      <c r="U109" s="49" t="s">
        <v>138</v>
      </c>
      <c r="V109" s="49">
        <f>V104-V50-V115-V110-V118</f>
        <v>23051.904865999968</v>
      </c>
      <c r="W109" s="49" t="s">
        <v>138</v>
      </c>
      <c r="X109" s="49" t="s">
        <v>138</v>
      </c>
      <c r="Y109" s="49">
        <f>Y104-Y50-Y115-Y110-Y118</f>
        <v>664939.06552999991</v>
      </c>
      <c r="Z109" s="49" t="s">
        <v>138</v>
      </c>
      <c r="AA109" s="49" t="s">
        <v>138</v>
      </c>
      <c r="AB109" s="19"/>
    </row>
    <row r="110" spans="1:28" ht="26.25" x14ac:dyDescent="0.25">
      <c r="A110" s="15" t="s">
        <v>141</v>
      </c>
      <c r="B110" s="74" t="s">
        <v>142</v>
      </c>
      <c r="C110" s="49">
        <f>C111+C112+C113+C114</f>
        <v>-38510</v>
      </c>
      <c r="D110" s="49" t="s">
        <v>138</v>
      </c>
      <c r="E110" s="69" t="s">
        <v>138</v>
      </c>
      <c r="F110" s="49">
        <f>F111+F112+F113+F114</f>
        <v>0</v>
      </c>
      <c r="G110" s="49" t="s">
        <v>138</v>
      </c>
      <c r="H110" s="49" t="s">
        <v>138</v>
      </c>
      <c r="I110" s="49">
        <f>I111+I112+I113+I114</f>
        <v>0</v>
      </c>
      <c r="J110" s="49" t="s">
        <v>138</v>
      </c>
      <c r="K110" s="49" t="s">
        <v>138</v>
      </c>
      <c r="L110" s="49">
        <f>L111+L112+L113+L114</f>
        <v>-10790</v>
      </c>
      <c r="M110" s="49" t="s">
        <v>138</v>
      </c>
      <c r="N110" s="49" t="s">
        <v>138</v>
      </c>
      <c r="O110" s="49">
        <f>O111+O112+O113+O114</f>
        <v>-10790</v>
      </c>
      <c r="P110" s="49" t="s">
        <v>138</v>
      </c>
      <c r="Q110" s="49" t="s">
        <v>138</v>
      </c>
      <c r="R110" s="19"/>
      <c r="S110" s="49">
        <f>S111+S112+S113+S114</f>
        <v>0</v>
      </c>
      <c r="T110" s="49" t="s">
        <v>138</v>
      </c>
      <c r="U110" s="49" t="s">
        <v>138</v>
      </c>
      <c r="V110" s="49">
        <f>V111+V112+V113+V114</f>
        <v>-10790</v>
      </c>
      <c r="W110" s="49" t="s">
        <v>138</v>
      </c>
      <c r="X110" s="49" t="s">
        <v>138</v>
      </c>
      <c r="Y110" s="49">
        <f>Y111+Y112+Y113+Y114</f>
        <v>-10790</v>
      </c>
      <c r="Z110" s="49" t="s">
        <v>138</v>
      </c>
      <c r="AA110" s="49" t="s">
        <v>138</v>
      </c>
      <c r="AB110" s="19"/>
    </row>
    <row r="111" spans="1:28" x14ac:dyDescent="0.25">
      <c r="A111" s="15"/>
      <c r="B111" s="25" t="s">
        <v>143</v>
      </c>
      <c r="C111" s="118">
        <v>0</v>
      </c>
      <c r="D111" s="49" t="s">
        <v>138</v>
      </c>
      <c r="E111" s="69" t="s">
        <v>138</v>
      </c>
      <c r="F111" s="118"/>
      <c r="G111" s="49" t="s">
        <v>138</v>
      </c>
      <c r="H111" s="49" t="s">
        <v>138</v>
      </c>
      <c r="I111" s="118"/>
      <c r="J111" s="49" t="s">
        <v>138</v>
      </c>
      <c r="K111" s="49" t="s">
        <v>138</v>
      </c>
      <c r="L111" s="118"/>
      <c r="M111" s="49" t="s">
        <v>138</v>
      </c>
      <c r="N111" s="49" t="s">
        <v>138</v>
      </c>
      <c r="O111" s="118"/>
      <c r="P111" s="49" t="s">
        <v>138</v>
      </c>
      <c r="Q111" s="49" t="s">
        <v>138</v>
      </c>
      <c r="R111" s="19"/>
      <c r="S111" s="118"/>
      <c r="T111" s="49" t="s">
        <v>138</v>
      </c>
      <c r="U111" s="49" t="s">
        <v>138</v>
      </c>
      <c r="V111" s="118"/>
      <c r="W111" s="49" t="s">
        <v>138</v>
      </c>
      <c r="X111" s="49" t="s">
        <v>138</v>
      </c>
      <c r="Y111" s="118"/>
      <c r="Z111" s="49" t="s">
        <v>138</v>
      </c>
      <c r="AA111" s="49" t="s">
        <v>138</v>
      </c>
      <c r="AB111" s="19"/>
    </row>
    <row r="112" spans="1:28" ht="26.25" x14ac:dyDescent="0.25">
      <c r="A112" s="15"/>
      <c r="B112" s="25" t="s">
        <v>144</v>
      </c>
      <c r="C112" s="118">
        <v>0</v>
      </c>
      <c r="D112" s="49" t="s">
        <v>138</v>
      </c>
      <c r="E112" s="69" t="s">
        <v>138</v>
      </c>
      <c r="F112" s="118"/>
      <c r="G112" s="49" t="s">
        <v>138</v>
      </c>
      <c r="H112" s="49" t="s">
        <v>138</v>
      </c>
      <c r="I112" s="118"/>
      <c r="J112" s="49" t="s">
        <v>138</v>
      </c>
      <c r="K112" s="49" t="s">
        <v>138</v>
      </c>
      <c r="L112" s="118"/>
      <c r="M112" s="49" t="s">
        <v>138</v>
      </c>
      <c r="N112" s="49" t="s">
        <v>138</v>
      </c>
      <c r="O112" s="118"/>
      <c r="P112" s="49" t="s">
        <v>138</v>
      </c>
      <c r="Q112" s="49" t="s">
        <v>138</v>
      </c>
      <c r="R112" s="19"/>
      <c r="S112" s="118"/>
      <c r="T112" s="49" t="s">
        <v>138</v>
      </c>
      <c r="U112" s="49" t="s">
        <v>138</v>
      </c>
      <c r="V112" s="118"/>
      <c r="W112" s="49" t="s">
        <v>138</v>
      </c>
      <c r="X112" s="49" t="s">
        <v>138</v>
      </c>
      <c r="Y112" s="118"/>
      <c r="Z112" s="49" t="s">
        <v>138</v>
      </c>
      <c r="AA112" s="49" t="s">
        <v>138</v>
      </c>
      <c r="AB112" s="19"/>
    </row>
    <row r="113" spans="1:28" x14ac:dyDescent="0.25">
      <c r="A113" s="15"/>
      <c r="B113" s="25" t="s">
        <v>145</v>
      </c>
      <c r="C113" s="118">
        <v>-38510</v>
      </c>
      <c r="D113" s="49" t="s">
        <v>138</v>
      </c>
      <c r="E113" s="69" t="s">
        <v>138</v>
      </c>
      <c r="F113" s="118"/>
      <c r="G113" s="49" t="s">
        <v>138</v>
      </c>
      <c r="H113" s="49" t="s">
        <v>138</v>
      </c>
      <c r="I113" s="118"/>
      <c r="J113" s="49" t="s">
        <v>138</v>
      </c>
      <c r="K113" s="49" t="s">
        <v>138</v>
      </c>
      <c r="L113" s="118">
        <v>-10790</v>
      </c>
      <c r="M113" s="49" t="s">
        <v>138</v>
      </c>
      <c r="N113" s="49" t="s">
        <v>138</v>
      </c>
      <c r="O113" s="118">
        <f>L113</f>
        <v>-10790</v>
      </c>
      <c r="P113" s="49" t="s">
        <v>138</v>
      </c>
      <c r="Q113" s="49" t="s">
        <v>138</v>
      </c>
      <c r="R113" s="19"/>
      <c r="S113" s="118">
        <v>0</v>
      </c>
      <c r="T113" s="49" t="s">
        <v>138</v>
      </c>
      <c r="U113" s="49" t="s">
        <v>138</v>
      </c>
      <c r="V113" s="118">
        <f>O113</f>
        <v>-10790</v>
      </c>
      <c r="W113" s="49" t="s">
        <v>138</v>
      </c>
      <c r="X113" s="49" t="s">
        <v>138</v>
      </c>
      <c r="Y113" s="118">
        <v>-10790</v>
      </c>
      <c r="Z113" s="49" t="s">
        <v>138</v>
      </c>
      <c r="AA113" s="49" t="s">
        <v>138</v>
      </c>
      <c r="AB113" s="19"/>
    </row>
    <row r="114" spans="1:28" ht="26.25" x14ac:dyDescent="0.25">
      <c r="A114" s="15"/>
      <c r="B114" s="25" t="s">
        <v>146</v>
      </c>
      <c r="C114" s="118">
        <v>0</v>
      </c>
      <c r="D114" s="49" t="s">
        <v>138</v>
      </c>
      <c r="E114" s="69" t="s">
        <v>138</v>
      </c>
      <c r="F114" s="118"/>
      <c r="G114" s="49" t="s">
        <v>138</v>
      </c>
      <c r="H114" s="49" t="s">
        <v>138</v>
      </c>
      <c r="I114" s="118"/>
      <c r="J114" s="49" t="s">
        <v>138</v>
      </c>
      <c r="K114" s="49" t="s">
        <v>138</v>
      </c>
      <c r="L114" s="118"/>
      <c r="M114" s="49" t="s">
        <v>138</v>
      </c>
      <c r="N114" s="49" t="s">
        <v>138</v>
      </c>
      <c r="O114" s="118"/>
      <c r="P114" s="49" t="s">
        <v>138</v>
      </c>
      <c r="Q114" s="49" t="s">
        <v>138</v>
      </c>
      <c r="R114" s="19"/>
      <c r="S114" s="118"/>
      <c r="T114" s="49" t="s">
        <v>138</v>
      </c>
      <c r="U114" s="49" t="s">
        <v>138</v>
      </c>
      <c r="V114" s="118"/>
      <c r="W114" s="49" t="s">
        <v>138</v>
      </c>
      <c r="X114" s="49" t="s">
        <v>138</v>
      </c>
      <c r="Y114" s="118"/>
      <c r="Z114" s="49" t="s">
        <v>138</v>
      </c>
      <c r="AA114" s="49" t="s">
        <v>138</v>
      </c>
      <c r="AB114" s="19"/>
    </row>
    <row r="115" spans="1:28" x14ac:dyDescent="0.25">
      <c r="A115" s="15" t="s">
        <v>147</v>
      </c>
      <c r="B115" s="74" t="s">
        <v>148</v>
      </c>
      <c r="C115" s="49">
        <f>C116+C117</f>
        <v>0</v>
      </c>
      <c r="D115" s="49" t="s">
        <v>138</v>
      </c>
      <c r="E115" s="69" t="s">
        <v>138</v>
      </c>
      <c r="F115" s="49">
        <f t="shared" ref="F115" si="96">F116+F117</f>
        <v>0</v>
      </c>
      <c r="G115" s="49" t="s">
        <v>138</v>
      </c>
      <c r="H115" s="49" t="s">
        <v>138</v>
      </c>
      <c r="I115" s="49">
        <f t="shared" ref="I115" si="97">I116+I117</f>
        <v>0</v>
      </c>
      <c r="J115" s="49" t="s">
        <v>138</v>
      </c>
      <c r="K115" s="49" t="s">
        <v>138</v>
      </c>
      <c r="L115" s="49">
        <f t="shared" ref="L115" si="98">L116+L117</f>
        <v>124690</v>
      </c>
      <c r="M115" s="49" t="s">
        <v>138</v>
      </c>
      <c r="N115" s="49" t="s">
        <v>138</v>
      </c>
      <c r="O115" s="49">
        <f t="shared" ref="O115" si="99">O116+O117</f>
        <v>124690</v>
      </c>
      <c r="P115" s="49" t="s">
        <v>138</v>
      </c>
      <c r="Q115" s="49" t="s">
        <v>138</v>
      </c>
      <c r="R115" s="19"/>
      <c r="S115" s="49">
        <f t="shared" ref="S115" si="100">S116+S117</f>
        <v>0</v>
      </c>
      <c r="T115" s="49" t="s">
        <v>138</v>
      </c>
      <c r="U115" s="49" t="s">
        <v>138</v>
      </c>
      <c r="V115" s="49">
        <f t="shared" ref="V115" si="101">V116+V117</f>
        <v>0</v>
      </c>
      <c r="W115" s="49" t="s">
        <v>138</v>
      </c>
      <c r="X115" s="49" t="s">
        <v>138</v>
      </c>
      <c r="Y115" s="49">
        <f t="shared" ref="Y115" si="102">Y116+Y117</f>
        <v>124690</v>
      </c>
      <c r="Z115" s="49" t="s">
        <v>138</v>
      </c>
      <c r="AA115" s="49" t="s">
        <v>138</v>
      </c>
      <c r="AB115" s="19"/>
    </row>
    <row r="116" spans="1:28" x14ac:dyDescent="0.25">
      <c r="A116" s="24"/>
      <c r="B116" s="25" t="s">
        <v>149</v>
      </c>
      <c r="C116" s="118"/>
      <c r="D116" s="49" t="s">
        <v>138</v>
      </c>
      <c r="E116" s="69" t="s">
        <v>138</v>
      </c>
      <c r="F116" s="118"/>
      <c r="G116" s="49" t="s">
        <v>138</v>
      </c>
      <c r="H116" s="49" t="s">
        <v>138</v>
      </c>
      <c r="I116" s="118"/>
      <c r="J116" s="49" t="s">
        <v>138</v>
      </c>
      <c r="K116" s="49" t="s">
        <v>138</v>
      </c>
      <c r="L116" s="118">
        <v>124690</v>
      </c>
      <c r="M116" s="49" t="s">
        <v>138</v>
      </c>
      <c r="N116" s="49" t="s">
        <v>138</v>
      </c>
      <c r="O116" s="118">
        <f>L116</f>
        <v>124690</v>
      </c>
      <c r="P116" s="49" t="s">
        <v>138</v>
      </c>
      <c r="Q116" s="49" t="s">
        <v>138</v>
      </c>
      <c r="R116" s="19"/>
      <c r="S116" s="118">
        <v>0</v>
      </c>
      <c r="T116" s="49" t="s">
        <v>138</v>
      </c>
      <c r="U116" s="49" t="s">
        <v>138</v>
      </c>
      <c r="V116" s="118">
        <v>0</v>
      </c>
      <c r="W116" s="49" t="s">
        <v>138</v>
      </c>
      <c r="X116" s="49" t="s">
        <v>138</v>
      </c>
      <c r="Y116" s="118">
        <v>124690</v>
      </c>
      <c r="Z116" s="49" t="s">
        <v>138</v>
      </c>
      <c r="AA116" s="49" t="s">
        <v>138</v>
      </c>
      <c r="AB116" s="19"/>
    </row>
    <row r="117" spans="1:28" x14ac:dyDescent="0.25">
      <c r="A117" s="15"/>
      <c r="B117" s="25" t="s">
        <v>145</v>
      </c>
      <c r="C117" s="122"/>
      <c r="D117" s="49" t="s">
        <v>138</v>
      </c>
      <c r="E117" s="69" t="s">
        <v>138</v>
      </c>
      <c r="F117" s="122"/>
      <c r="G117" s="49" t="s">
        <v>138</v>
      </c>
      <c r="H117" s="49" t="s">
        <v>138</v>
      </c>
      <c r="I117" s="122"/>
      <c r="J117" s="49" t="s">
        <v>138</v>
      </c>
      <c r="K117" s="49" t="s">
        <v>138</v>
      </c>
      <c r="L117" s="122"/>
      <c r="M117" s="49" t="s">
        <v>138</v>
      </c>
      <c r="N117" s="49" t="s">
        <v>138</v>
      </c>
      <c r="O117" s="122"/>
      <c r="P117" s="49" t="s">
        <v>138</v>
      </c>
      <c r="Q117" s="49" t="s">
        <v>138</v>
      </c>
      <c r="R117" s="19"/>
      <c r="S117" s="122"/>
      <c r="T117" s="49" t="s">
        <v>138</v>
      </c>
      <c r="U117" s="49" t="s">
        <v>138</v>
      </c>
      <c r="V117" s="122"/>
      <c r="W117" s="49" t="s">
        <v>138</v>
      </c>
      <c r="X117" s="49" t="s">
        <v>138</v>
      </c>
      <c r="Y117" s="122"/>
      <c r="Z117" s="49" t="s">
        <v>138</v>
      </c>
      <c r="AA117" s="49" t="s">
        <v>138</v>
      </c>
      <c r="AB117" s="19"/>
    </row>
    <row r="118" spans="1:28" ht="26.25" x14ac:dyDescent="0.25">
      <c r="A118" s="15" t="s">
        <v>150</v>
      </c>
      <c r="B118" s="74" t="s">
        <v>151</v>
      </c>
      <c r="C118" s="122">
        <f>C120</f>
        <v>88595.169349999996</v>
      </c>
      <c r="D118" s="49" t="s">
        <v>138</v>
      </c>
      <c r="E118" s="69" t="s">
        <v>138</v>
      </c>
      <c r="F118" s="122">
        <f>F120</f>
        <v>-631.94695000000002</v>
      </c>
      <c r="G118" s="49" t="s">
        <v>138</v>
      </c>
      <c r="H118" s="49" t="s">
        <v>138</v>
      </c>
      <c r="I118" s="122">
        <f>I120</f>
        <v>-23228.747159999999</v>
      </c>
      <c r="J118" s="49" t="s">
        <v>138</v>
      </c>
      <c r="K118" s="49" t="s">
        <v>138</v>
      </c>
      <c r="L118" s="122">
        <f>L120</f>
        <v>0</v>
      </c>
      <c r="M118" s="49" t="s">
        <v>138</v>
      </c>
      <c r="N118" s="49" t="s">
        <v>138</v>
      </c>
      <c r="O118" s="122">
        <f>O120</f>
        <v>0</v>
      </c>
      <c r="P118" s="49" t="s">
        <v>138</v>
      </c>
      <c r="Q118" s="49" t="s">
        <v>138</v>
      </c>
      <c r="R118" s="19"/>
      <c r="S118" s="122">
        <f>S120</f>
        <v>-18829.55285</v>
      </c>
      <c r="T118" s="49" t="s">
        <v>138</v>
      </c>
      <c r="U118" s="49" t="s">
        <v>138</v>
      </c>
      <c r="V118" s="122">
        <f>V120</f>
        <v>1137</v>
      </c>
      <c r="W118" s="49" t="s">
        <v>138</v>
      </c>
      <c r="X118" s="49" t="s">
        <v>138</v>
      </c>
      <c r="Y118" s="122">
        <f>Y120</f>
        <v>-588927.32886999997</v>
      </c>
      <c r="Z118" s="49" t="s">
        <v>138</v>
      </c>
      <c r="AA118" s="49" t="s">
        <v>138</v>
      </c>
      <c r="AB118" s="19"/>
    </row>
    <row r="119" spans="1:28" x14ac:dyDescent="0.25">
      <c r="A119" s="15"/>
      <c r="B119" s="25" t="s">
        <v>17</v>
      </c>
      <c r="C119" s="122"/>
      <c r="D119" s="49"/>
      <c r="E119" s="69"/>
      <c r="F119" s="122"/>
      <c r="G119" s="49"/>
      <c r="H119" s="49"/>
      <c r="I119" s="122"/>
      <c r="J119" s="49"/>
      <c r="K119" s="49"/>
      <c r="L119" s="122"/>
      <c r="M119" s="49"/>
      <c r="N119" s="49"/>
      <c r="O119" s="122"/>
      <c r="P119" s="49"/>
      <c r="Q119" s="49"/>
      <c r="R119" s="19"/>
      <c r="S119" s="122"/>
      <c r="T119" s="49"/>
      <c r="U119" s="49"/>
      <c r="V119" s="122"/>
      <c r="W119" s="49"/>
      <c r="X119" s="49"/>
      <c r="Y119" s="122"/>
      <c r="Z119" s="49"/>
      <c r="AA119" s="49"/>
      <c r="AB119" s="19"/>
    </row>
    <row r="120" spans="1:28" ht="51" x14ac:dyDescent="0.25">
      <c r="A120" s="15"/>
      <c r="B120" s="75" t="s">
        <v>152</v>
      </c>
      <c r="C120" s="122">
        <v>88595.169349999996</v>
      </c>
      <c r="D120" s="49" t="s">
        <v>138</v>
      </c>
      <c r="E120" s="69" t="s">
        <v>138</v>
      </c>
      <c r="F120" s="122">
        <f>-631.94695</f>
        <v>-631.94695000000002</v>
      </c>
      <c r="G120" s="49" t="s">
        <v>138</v>
      </c>
      <c r="H120" s="49" t="s">
        <v>138</v>
      </c>
      <c r="I120" s="122">
        <f>-23860.69411-F120</f>
        <v>-23228.747159999999</v>
      </c>
      <c r="J120" s="49" t="s">
        <v>138</v>
      </c>
      <c r="K120" s="49" t="s">
        <v>138</v>
      </c>
      <c r="L120" s="122"/>
      <c r="M120" s="49" t="s">
        <v>138</v>
      </c>
      <c r="N120" s="49" t="s">
        <v>138</v>
      </c>
      <c r="O120" s="122">
        <v>0</v>
      </c>
      <c r="P120" s="49" t="s">
        <v>138</v>
      </c>
      <c r="Q120" s="49" t="s">
        <v>138</v>
      </c>
      <c r="R120" s="19"/>
      <c r="S120" s="122">
        <v>-18829.55285</v>
      </c>
      <c r="T120" s="49" t="s">
        <v>138</v>
      </c>
      <c r="U120" s="49" t="s">
        <v>138</v>
      </c>
      <c r="V120" s="122">
        <v>1137</v>
      </c>
      <c r="W120" s="49" t="s">
        <v>138</v>
      </c>
      <c r="X120" s="49" t="s">
        <v>138</v>
      </c>
      <c r="Y120" s="122">
        <f>(587183.21642+1744.11245)*(-1)</f>
        <v>-588927.32886999997</v>
      </c>
      <c r="Z120" s="49" t="s">
        <v>138</v>
      </c>
      <c r="AA120" s="49" t="s">
        <v>138</v>
      </c>
      <c r="AB120" s="19"/>
    </row>
    <row r="121" spans="1:28" ht="25.5" x14ac:dyDescent="0.25">
      <c r="A121" s="15"/>
      <c r="B121" s="32" t="s">
        <v>153</v>
      </c>
      <c r="C121" s="122"/>
      <c r="D121" s="49" t="s">
        <v>138</v>
      </c>
      <c r="E121" s="69" t="s">
        <v>138</v>
      </c>
      <c r="F121" s="122"/>
      <c r="G121" s="49" t="s">
        <v>138</v>
      </c>
      <c r="H121" s="49" t="s">
        <v>138</v>
      </c>
      <c r="I121" s="122"/>
      <c r="J121" s="49" t="s">
        <v>138</v>
      </c>
      <c r="K121" s="49" t="s">
        <v>138</v>
      </c>
      <c r="L121" s="122"/>
      <c r="M121" s="49" t="s">
        <v>138</v>
      </c>
      <c r="N121" s="49" t="s">
        <v>138</v>
      </c>
      <c r="O121" s="122"/>
      <c r="P121" s="49" t="s">
        <v>138</v>
      </c>
      <c r="Q121" s="49" t="s">
        <v>138</v>
      </c>
      <c r="R121" s="19"/>
      <c r="S121" s="122"/>
      <c r="T121" s="49" t="s">
        <v>138</v>
      </c>
      <c r="U121" s="49" t="s">
        <v>138</v>
      </c>
      <c r="V121" s="122"/>
      <c r="W121" s="49" t="s">
        <v>138</v>
      </c>
      <c r="X121" s="49" t="s">
        <v>138</v>
      </c>
      <c r="Y121" s="122"/>
      <c r="Z121" s="49" t="s">
        <v>138</v>
      </c>
      <c r="AA121" s="49" t="s">
        <v>138</v>
      </c>
      <c r="AB121" s="19"/>
    </row>
    <row r="122" spans="1:28" ht="25.5" x14ac:dyDescent="0.25">
      <c r="A122" s="15"/>
      <c r="B122" s="32" t="s">
        <v>154</v>
      </c>
      <c r="C122" s="122"/>
      <c r="D122" s="124" t="s">
        <v>138</v>
      </c>
      <c r="E122" s="69" t="s">
        <v>138</v>
      </c>
      <c r="F122" s="125"/>
      <c r="G122" s="49" t="s">
        <v>138</v>
      </c>
      <c r="H122" s="49" t="s">
        <v>138</v>
      </c>
      <c r="I122" s="122"/>
      <c r="J122" s="49" t="s">
        <v>138</v>
      </c>
      <c r="K122" s="49" t="s">
        <v>138</v>
      </c>
      <c r="L122" s="126"/>
      <c r="M122" s="49" t="s">
        <v>138</v>
      </c>
      <c r="N122" s="49" t="s">
        <v>138</v>
      </c>
      <c r="O122" s="126"/>
      <c r="P122" s="49" t="s">
        <v>138</v>
      </c>
      <c r="Q122" s="49" t="s">
        <v>138</v>
      </c>
      <c r="R122" s="19"/>
      <c r="S122" s="126"/>
      <c r="T122" s="49" t="s">
        <v>138</v>
      </c>
      <c r="U122" s="49" t="s">
        <v>138</v>
      </c>
      <c r="V122" s="126"/>
      <c r="W122" s="49" t="s">
        <v>138</v>
      </c>
      <c r="X122" s="49" t="s">
        <v>138</v>
      </c>
      <c r="Y122" s="126"/>
      <c r="Z122" s="49" t="s">
        <v>138</v>
      </c>
      <c r="AA122" s="49" t="s">
        <v>138</v>
      </c>
      <c r="AB122" s="19"/>
    </row>
    <row r="123" spans="1:28" ht="27.75" customHeight="1" x14ac:dyDescent="0.25">
      <c r="A123" s="76" t="s">
        <v>155</v>
      </c>
      <c r="B123" s="77" t="s">
        <v>156</v>
      </c>
      <c r="C123" s="124">
        <f>C124+C125</f>
        <v>666389.17417999997</v>
      </c>
      <c r="D123" s="124" t="s">
        <v>138</v>
      </c>
      <c r="E123" s="127" t="s">
        <v>138</v>
      </c>
      <c r="F123" s="124">
        <f>F124+F125</f>
        <v>590327.12960999995</v>
      </c>
      <c r="G123" s="124" t="s">
        <v>138</v>
      </c>
      <c r="H123" s="124" t="s">
        <v>138</v>
      </c>
      <c r="I123" s="124">
        <f>I124+I125</f>
        <v>7333.1104000001105</v>
      </c>
      <c r="J123" s="124" t="s">
        <v>138</v>
      </c>
      <c r="K123" s="49" t="s">
        <v>138</v>
      </c>
      <c r="L123" s="49" t="s">
        <v>138</v>
      </c>
      <c r="M123" s="49" t="s">
        <v>138</v>
      </c>
      <c r="N123" s="124" t="s">
        <v>138</v>
      </c>
      <c r="O123" s="124" t="s">
        <v>138</v>
      </c>
      <c r="P123" s="124" t="s">
        <v>138</v>
      </c>
      <c r="Q123" s="124" t="s">
        <v>138</v>
      </c>
      <c r="R123" s="19"/>
      <c r="S123" s="124">
        <f>S124+S125</f>
        <v>660040.14726</v>
      </c>
      <c r="T123" s="124" t="s">
        <v>138</v>
      </c>
      <c r="U123" s="124" t="s">
        <v>138</v>
      </c>
      <c r="V123" s="124">
        <f>V124+V125</f>
        <v>635851.24239399994</v>
      </c>
      <c r="W123" s="49" t="s">
        <v>138</v>
      </c>
      <c r="X123" s="49" t="s">
        <v>138</v>
      </c>
      <c r="Y123" s="124">
        <f>Y124+Y125</f>
        <v>1450.1086500000674</v>
      </c>
      <c r="Z123" s="49" t="s">
        <v>138</v>
      </c>
      <c r="AA123" s="49" t="s">
        <v>138</v>
      </c>
      <c r="AB123" s="19"/>
    </row>
    <row r="124" spans="1:28" x14ac:dyDescent="0.25">
      <c r="A124" s="24"/>
      <c r="B124" s="25" t="s">
        <v>157</v>
      </c>
      <c r="C124" s="26">
        <f>1274</f>
        <v>1274</v>
      </c>
      <c r="D124" s="49" t="s">
        <v>138</v>
      </c>
      <c r="E124" s="69" t="s">
        <v>138</v>
      </c>
      <c r="F124" s="155">
        <f>2270.81304+1274</f>
        <v>3544.81304</v>
      </c>
      <c r="G124" s="49" t="s">
        <v>138</v>
      </c>
      <c r="H124" s="49" t="s">
        <v>138</v>
      </c>
      <c r="I124" s="155">
        <f>26178.62785+1274-F124</f>
        <v>23907.81481</v>
      </c>
      <c r="J124" s="49" t="s">
        <v>138</v>
      </c>
      <c r="K124" s="49" t="s">
        <v>138</v>
      </c>
      <c r="L124" s="49" t="s">
        <v>138</v>
      </c>
      <c r="M124" s="49" t="s">
        <v>138</v>
      </c>
      <c r="N124" s="124" t="s">
        <v>138</v>
      </c>
      <c r="O124" s="124" t="s">
        <v>138</v>
      </c>
      <c r="P124" s="124" t="s">
        <v>138</v>
      </c>
      <c r="Q124" s="124" t="s">
        <v>138</v>
      </c>
      <c r="R124" s="19"/>
      <c r="S124" s="128">
        <f>1274+835.5+8609.68075</f>
        <v>10719.18075</v>
      </c>
      <c r="T124" s="124" t="s">
        <v>138</v>
      </c>
      <c r="U124" s="124" t="s">
        <v>138</v>
      </c>
      <c r="V124" s="128">
        <f>S124+W105</f>
        <v>10165.130750000011</v>
      </c>
      <c r="W124" s="49" t="s">
        <v>138</v>
      </c>
      <c r="X124" s="49" t="s">
        <v>138</v>
      </c>
      <c r="Y124" s="128">
        <f>C124+Z105</f>
        <v>-0.75399999972432852</v>
      </c>
      <c r="Z124" s="49" t="s">
        <v>138</v>
      </c>
      <c r="AA124" s="49" t="s">
        <v>138</v>
      </c>
      <c r="AB124" s="19"/>
    </row>
    <row r="125" spans="1:28" x14ac:dyDescent="0.25">
      <c r="A125" s="78"/>
      <c r="B125" s="25" t="s">
        <v>158</v>
      </c>
      <c r="C125" s="122">
        <f>666389.17418-C124</f>
        <v>665115.17417999997</v>
      </c>
      <c r="D125" s="49" t="s">
        <v>138</v>
      </c>
      <c r="E125" s="69" t="s">
        <v>138</v>
      </c>
      <c r="F125" s="156">
        <f>590327.12961-F124</f>
        <v>586782.31656999991</v>
      </c>
      <c r="G125" s="49" t="s">
        <v>138</v>
      </c>
      <c r="H125" s="49" t="s">
        <v>138</v>
      </c>
      <c r="I125" s="156">
        <f>570207.61216-F125</f>
        <v>-16574.704409999889</v>
      </c>
      <c r="J125" s="49" t="s">
        <v>138</v>
      </c>
      <c r="K125" s="49" t="s">
        <v>138</v>
      </c>
      <c r="L125" s="49" t="s">
        <v>138</v>
      </c>
      <c r="M125" s="49" t="s">
        <v>138</v>
      </c>
      <c r="N125" s="49" t="s">
        <v>138</v>
      </c>
      <c r="O125" s="49" t="s">
        <v>138</v>
      </c>
      <c r="P125" s="124" t="s">
        <v>138</v>
      </c>
      <c r="Q125" s="124" t="s">
        <v>138</v>
      </c>
      <c r="R125" s="19"/>
      <c r="S125" s="126">
        <f>660040.14726-S124</f>
        <v>649320.96650999994</v>
      </c>
      <c r="T125" s="124" t="s">
        <v>138</v>
      </c>
      <c r="U125" s="124" t="s">
        <v>138</v>
      </c>
      <c r="V125" s="126">
        <f>S125+X105+V113</f>
        <v>625686.11164399993</v>
      </c>
      <c r="W125" s="49" t="s">
        <v>138</v>
      </c>
      <c r="X125" s="49" t="s">
        <v>138</v>
      </c>
      <c r="Y125" s="126">
        <f>C125+AA105+Y118+Y115+Y113</f>
        <v>1450.8626499997918</v>
      </c>
      <c r="Z125" s="49" t="s">
        <v>138</v>
      </c>
      <c r="AA125" s="49" t="s">
        <v>138</v>
      </c>
      <c r="AB125" s="19"/>
    </row>
    <row r="126" spans="1:28" x14ac:dyDescent="0.25">
      <c r="A126" s="78"/>
      <c r="B126" s="25" t="s">
        <v>7</v>
      </c>
      <c r="C126" s="122"/>
      <c r="D126" s="49"/>
      <c r="E126" s="69"/>
      <c r="F126" s="122"/>
      <c r="G126" s="49"/>
      <c r="H126" s="49"/>
      <c r="I126" s="122"/>
      <c r="J126" s="49"/>
      <c r="K126" s="49"/>
      <c r="L126" s="49"/>
      <c r="M126" s="49"/>
      <c r="N126" s="49"/>
      <c r="O126" s="49"/>
      <c r="P126" s="124"/>
      <c r="Q126" s="124"/>
      <c r="R126" s="19"/>
      <c r="S126" s="126"/>
      <c r="T126" s="124"/>
      <c r="U126" s="124"/>
      <c r="V126" s="126"/>
      <c r="W126" s="49"/>
      <c r="X126" s="49"/>
      <c r="Y126" s="126"/>
      <c r="Z126" s="49"/>
      <c r="AA126" s="49"/>
      <c r="AB126" s="19"/>
    </row>
    <row r="127" spans="1:28" ht="50.25" customHeight="1" x14ac:dyDescent="0.25">
      <c r="A127" s="79"/>
      <c r="B127" s="21" t="s">
        <v>159</v>
      </c>
      <c r="C127" s="122">
        <f>1274</f>
        <v>1274</v>
      </c>
      <c r="D127" s="49" t="s">
        <v>138</v>
      </c>
      <c r="E127" s="69" t="s">
        <v>138</v>
      </c>
      <c r="F127" s="122">
        <v>1274</v>
      </c>
      <c r="G127" s="49" t="s">
        <v>138</v>
      </c>
      <c r="H127" s="49" t="s">
        <v>138</v>
      </c>
      <c r="I127" s="122">
        <f>1274-F127</f>
        <v>0</v>
      </c>
      <c r="J127" s="49" t="s">
        <v>138</v>
      </c>
      <c r="K127" s="49" t="s">
        <v>138</v>
      </c>
      <c r="L127" s="49" t="s">
        <v>138</v>
      </c>
      <c r="M127" s="49" t="s">
        <v>138</v>
      </c>
      <c r="N127" s="49" t="s">
        <v>138</v>
      </c>
      <c r="O127" s="49" t="s">
        <v>138</v>
      </c>
      <c r="P127" s="124" t="s">
        <v>138</v>
      </c>
      <c r="Q127" s="124" t="s">
        <v>138</v>
      </c>
      <c r="R127" s="19"/>
      <c r="S127" s="126">
        <f>1274+835.5</f>
        <v>2109.5</v>
      </c>
      <c r="T127" s="124" t="s">
        <v>138</v>
      </c>
      <c r="U127" s="124" t="s">
        <v>138</v>
      </c>
      <c r="V127" s="126">
        <f>1274+835.5</f>
        <v>2109.5</v>
      </c>
      <c r="W127" s="49" t="s">
        <v>138</v>
      </c>
      <c r="X127" s="49" t="s">
        <v>138</v>
      </c>
      <c r="Y127" s="126">
        <f>0</f>
        <v>0</v>
      </c>
      <c r="Z127" s="49" t="s">
        <v>138</v>
      </c>
      <c r="AA127" s="49" t="s">
        <v>138</v>
      </c>
      <c r="AB127" s="19"/>
    </row>
    <row r="128" spans="1:28" s="114" customFormat="1" ht="28.5" customHeight="1" x14ac:dyDescent="0.25">
      <c r="A128" s="79"/>
      <c r="B128" s="21" t="s">
        <v>210</v>
      </c>
      <c r="C128" s="122">
        <f>587183.21642+1744.11245</f>
        <v>588927.32886999997</v>
      </c>
      <c r="D128" s="49" t="s">
        <v>138</v>
      </c>
      <c r="E128" s="49" t="s">
        <v>138</v>
      </c>
      <c r="F128" s="122">
        <f>499700.21258</f>
        <v>499700.21257999999</v>
      </c>
      <c r="G128" s="49" t="s">
        <v>138</v>
      </c>
      <c r="H128" s="49" t="s">
        <v>138</v>
      </c>
      <c r="I128" s="122">
        <f>476471.46542-F128</f>
        <v>-23228.74715999997</v>
      </c>
      <c r="J128" s="49" t="s">
        <v>138</v>
      </c>
      <c r="K128" s="49" t="s">
        <v>138</v>
      </c>
      <c r="L128" s="49" t="s">
        <v>138</v>
      </c>
      <c r="M128" s="49" t="s">
        <v>138</v>
      </c>
      <c r="N128" s="49" t="s">
        <v>138</v>
      </c>
      <c r="O128" s="49" t="s">
        <v>138</v>
      </c>
      <c r="P128" s="49" t="s">
        <v>138</v>
      </c>
      <c r="Q128" s="49" t="s">
        <v>138</v>
      </c>
      <c r="R128" s="50"/>
      <c r="S128" s="126">
        <f>1817.67998+568280.09604</f>
        <v>570097.77601999999</v>
      </c>
      <c r="T128" s="49" t="s">
        <v>138</v>
      </c>
      <c r="U128" s="49" t="s">
        <v>138</v>
      </c>
      <c r="V128" s="126">
        <f>S128+V118</f>
        <v>571234.77601999999</v>
      </c>
      <c r="W128" s="49" t="s">
        <v>138</v>
      </c>
      <c r="X128" s="49" t="s">
        <v>138</v>
      </c>
      <c r="Y128" s="126">
        <f>C128+Y118</f>
        <v>0</v>
      </c>
      <c r="Z128" s="49" t="s">
        <v>138</v>
      </c>
      <c r="AA128" s="49" t="s">
        <v>138</v>
      </c>
      <c r="AB128" s="50"/>
    </row>
    <row r="129" spans="1:28" s="114" customFormat="1" ht="31.5" customHeight="1" x14ac:dyDescent="0.25">
      <c r="A129" s="79"/>
      <c r="B129" s="21" t="s">
        <v>221</v>
      </c>
      <c r="C129" s="122">
        <v>189.25899999999999</v>
      </c>
      <c r="D129" s="49" t="s">
        <v>138</v>
      </c>
      <c r="E129" s="69" t="s">
        <v>138</v>
      </c>
      <c r="F129" s="122"/>
      <c r="G129" s="49" t="s">
        <v>138</v>
      </c>
      <c r="H129" s="69" t="s">
        <v>138</v>
      </c>
      <c r="I129" s="122"/>
      <c r="J129" s="49" t="s">
        <v>138</v>
      </c>
      <c r="K129" s="69" t="s">
        <v>138</v>
      </c>
      <c r="L129" s="49" t="s">
        <v>138</v>
      </c>
      <c r="M129" s="49" t="s">
        <v>138</v>
      </c>
      <c r="N129" s="49" t="s">
        <v>138</v>
      </c>
      <c r="O129" s="49" t="s">
        <v>138</v>
      </c>
      <c r="P129" s="49" t="s">
        <v>138</v>
      </c>
      <c r="Q129" s="49" t="s">
        <v>138</v>
      </c>
      <c r="R129" s="50"/>
      <c r="S129" s="126">
        <f>C129+S11</f>
        <v>4697.6211700000003</v>
      </c>
      <c r="T129" s="49" t="s">
        <v>138</v>
      </c>
      <c r="U129" s="49" t="s">
        <v>138</v>
      </c>
      <c r="V129" s="126">
        <f>S129+V11</f>
        <v>4854.5361499999999</v>
      </c>
      <c r="W129" s="49" t="s">
        <v>138</v>
      </c>
      <c r="X129" s="49" t="s">
        <v>138</v>
      </c>
      <c r="Y129" s="126">
        <f>C129+Y151-Y152</f>
        <v>-1.0000000183936208E-3</v>
      </c>
      <c r="Z129" s="49" t="s">
        <v>138</v>
      </c>
      <c r="AA129" s="49" t="s">
        <v>138</v>
      </c>
      <c r="AB129" s="50"/>
    </row>
    <row r="130" spans="1:28" s="114" customFormat="1" ht="69.75" customHeight="1" x14ac:dyDescent="0.25">
      <c r="A130" s="79"/>
      <c r="B130" s="21" t="s">
        <v>222</v>
      </c>
      <c r="C130" s="122">
        <v>26115.317780000001</v>
      </c>
      <c r="D130" s="49" t="s">
        <v>138</v>
      </c>
      <c r="E130" s="49" t="s">
        <v>138</v>
      </c>
      <c r="F130" s="122"/>
      <c r="G130" s="49" t="s">
        <v>138</v>
      </c>
      <c r="H130" s="49" t="s">
        <v>138</v>
      </c>
      <c r="I130" s="122"/>
      <c r="J130" s="49" t="s">
        <v>138</v>
      </c>
      <c r="K130" s="49" t="s">
        <v>138</v>
      </c>
      <c r="L130" s="49" t="s">
        <v>138</v>
      </c>
      <c r="M130" s="49" t="s">
        <v>138</v>
      </c>
      <c r="N130" s="49" t="s">
        <v>138</v>
      </c>
      <c r="O130" s="49" t="s">
        <v>138</v>
      </c>
      <c r="P130" s="49" t="s">
        <v>138</v>
      </c>
      <c r="Q130" s="49" t="s">
        <v>138</v>
      </c>
      <c r="R130" s="50"/>
      <c r="S130" s="126">
        <f>C130+S30</f>
        <v>29968.652440000002</v>
      </c>
      <c r="T130" s="49" t="s">
        <v>138</v>
      </c>
      <c r="U130" s="49" t="s">
        <v>138</v>
      </c>
      <c r="V130" s="126">
        <f>S130+V30</f>
        <v>33380.952440000001</v>
      </c>
      <c r="W130" s="49" t="s">
        <v>138</v>
      </c>
      <c r="X130" s="49" t="s">
        <v>138</v>
      </c>
      <c r="Y130" s="126">
        <v>0</v>
      </c>
      <c r="Z130" s="49" t="s">
        <v>138</v>
      </c>
      <c r="AA130" s="49" t="s">
        <v>138</v>
      </c>
      <c r="AB130" s="50"/>
    </row>
    <row r="131" spans="1:28" ht="26.25" x14ac:dyDescent="0.25">
      <c r="A131" s="76" t="s">
        <v>160</v>
      </c>
      <c r="B131" s="74" t="s">
        <v>161</v>
      </c>
      <c r="C131" s="126">
        <v>0</v>
      </c>
      <c r="D131" s="122"/>
      <c r="E131" s="129"/>
      <c r="F131" s="122">
        <v>0</v>
      </c>
      <c r="G131" s="122"/>
      <c r="H131" s="122"/>
      <c r="I131" s="122">
        <v>0</v>
      </c>
      <c r="J131" s="122"/>
      <c r="K131" s="122"/>
      <c r="L131" s="49" t="s">
        <v>138</v>
      </c>
      <c r="M131" s="49" t="s">
        <v>138</v>
      </c>
      <c r="N131" s="49" t="s">
        <v>138</v>
      </c>
      <c r="O131" s="49" t="s">
        <v>138</v>
      </c>
      <c r="P131" s="49" t="s">
        <v>138</v>
      </c>
      <c r="Q131" s="49" t="s">
        <v>138</v>
      </c>
      <c r="R131" s="130" t="s">
        <v>138</v>
      </c>
      <c r="S131" s="126">
        <v>0</v>
      </c>
      <c r="T131" s="126"/>
      <c r="U131" s="126"/>
      <c r="V131" s="126">
        <v>0</v>
      </c>
      <c r="W131" s="126"/>
      <c r="X131" s="126"/>
      <c r="Y131" s="126">
        <v>0</v>
      </c>
      <c r="Z131" s="126"/>
      <c r="AA131" s="126"/>
      <c r="AB131" s="19" t="e">
        <f t="shared" si="83"/>
        <v>#DIV/0!</v>
      </c>
    </row>
    <row r="132" spans="1:28" s="115" customFormat="1" ht="20.25" customHeight="1" x14ac:dyDescent="0.25">
      <c r="A132" s="76" t="s">
        <v>162</v>
      </c>
      <c r="B132" s="80" t="s">
        <v>163</v>
      </c>
      <c r="C132" s="131">
        <f>SUM(C133:C146)</f>
        <v>3156520</v>
      </c>
      <c r="D132" s="131">
        <f t="shared" ref="D132:Z132" si="103">SUM(D133:D146)</f>
        <v>1705868</v>
      </c>
      <c r="E132" s="132">
        <f>C132-D132</f>
        <v>1450652</v>
      </c>
      <c r="F132" s="131">
        <f t="shared" si="103"/>
        <v>565799.45545999997</v>
      </c>
      <c r="G132" s="131">
        <f t="shared" si="103"/>
        <v>337121.91876999993</v>
      </c>
      <c r="H132" s="132">
        <f>F132-G132</f>
        <v>228677.53669000004</v>
      </c>
      <c r="I132" s="131">
        <f t="shared" si="103"/>
        <v>191606.39696999997</v>
      </c>
      <c r="J132" s="131">
        <f t="shared" si="103"/>
        <v>79115.922490000026</v>
      </c>
      <c r="K132" s="132">
        <f>I132-J132</f>
        <v>112490.47447999995</v>
      </c>
      <c r="L132" s="131">
        <f>SUM(L133:L146)</f>
        <v>3360107.6049799998</v>
      </c>
      <c r="M132" s="131">
        <f t="shared" si="103"/>
        <v>1804128.5594500001</v>
      </c>
      <c r="N132" s="132">
        <f>L132-M132</f>
        <v>1555979.0455299998</v>
      </c>
      <c r="O132" s="131">
        <f t="shared" si="103"/>
        <v>3646906.8813700001</v>
      </c>
      <c r="P132" s="131">
        <f t="shared" si="103"/>
        <v>2090927.8358400003</v>
      </c>
      <c r="Q132" s="132">
        <f>O132-P132</f>
        <v>1555979.0455299998</v>
      </c>
      <c r="R132" s="19">
        <f t="shared" ref="R132:R147" si="104">Q132/E132</f>
        <v>1.0726066937694221</v>
      </c>
      <c r="S132" s="133">
        <f t="shared" si="103"/>
        <v>575204.65351000009</v>
      </c>
      <c r="T132" s="133">
        <f t="shared" si="103"/>
        <v>343180.60852000001</v>
      </c>
      <c r="U132" s="132">
        <f>S132-T132</f>
        <v>232024.04499000008</v>
      </c>
      <c r="V132" s="133">
        <f t="shared" si="103"/>
        <v>240430.69562000004</v>
      </c>
      <c r="W132" s="133">
        <f t="shared" si="103"/>
        <v>101350.35331000001</v>
      </c>
      <c r="X132" s="132">
        <f>V132-W132</f>
        <v>139080.34231000004</v>
      </c>
      <c r="Y132" s="133">
        <f t="shared" si="103"/>
        <v>3869246.1183099998</v>
      </c>
      <c r="Z132" s="133">
        <f t="shared" si="103"/>
        <v>2252070.5754300002</v>
      </c>
      <c r="AA132" s="132">
        <f>Y132-Z132</f>
        <v>1617175.5428799996</v>
      </c>
      <c r="AB132" s="19">
        <f t="shared" si="83"/>
        <v>1.1147922057667861</v>
      </c>
    </row>
    <row r="133" spans="1:28" x14ac:dyDescent="0.25">
      <c r="A133" s="81"/>
      <c r="B133" s="82" t="s">
        <v>164</v>
      </c>
      <c r="C133" s="134">
        <v>363935</v>
      </c>
      <c r="D133" s="134">
        <v>6060</v>
      </c>
      <c r="E133" s="135">
        <f>C133-D133</f>
        <v>357875</v>
      </c>
      <c r="F133" s="120">
        <f>66579.96706</f>
        <v>66579.967059999995</v>
      </c>
      <c r="G133" s="120">
        <f>171.28801</f>
        <v>171.28801000000001</v>
      </c>
      <c r="H133" s="135">
        <f>F133-G133</f>
        <v>66408.679049999992</v>
      </c>
      <c r="I133" s="120">
        <f>93374.62587-F133</f>
        <v>26794.658810000008</v>
      </c>
      <c r="J133" s="120">
        <f>266.1167-G133</f>
        <v>94.828689999999966</v>
      </c>
      <c r="K133" s="135">
        <f>I133-J133</f>
        <v>26699.83012000001</v>
      </c>
      <c r="L133" s="120">
        <v>406068.72649999999</v>
      </c>
      <c r="M133" s="120">
        <v>1073.2265</v>
      </c>
      <c r="N133" s="135">
        <f>L133-M133</f>
        <v>404995.5</v>
      </c>
      <c r="O133" s="136">
        <v>405668.72649999999</v>
      </c>
      <c r="P133" s="136">
        <v>1073.2265</v>
      </c>
      <c r="Q133" s="135">
        <f>O133-P133</f>
        <v>404595.5</v>
      </c>
      <c r="R133" s="19">
        <f t="shared" si="104"/>
        <v>1.1305497729654208</v>
      </c>
      <c r="S133" s="136">
        <v>72580.148449999993</v>
      </c>
      <c r="T133" s="136">
        <v>183.20357000000001</v>
      </c>
      <c r="U133" s="135">
        <f>S133-T133</f>
        <v>72396.944879999995</v>
      </c>
      <c r="V133" s="136">
        <v>27412.3</v>
      </c>
      <c r="W133" s="136">
        <v>62.3</v>
      </c>
      <c r="X133" s="135">
        <f>V133-W133</f>
        <v>27350</v>
      </c>
      <c r="Y133" s="136">
        <f>435699.10867-2153.5</f>
        <v>433545.60866999999</v>
      </c>
      <c r="Z133" s="136">
        <v>1073.2265</v>
      </c>
      <c r="AA133" s="135">
        <f>Y133-Z133</f>
        <v>432472.38217</v>
      </c>
      <c r="AB133" s="19">
        <f t="shared" si="83"/>
        <v>1.2084453570939573</v>
      </c>
    </row>
    <row r="134" spans="1:28" x14ac:dyDescent="0.25">
      <c r="A134" s="81"/>
      <c r="B134" s="83" t="s">
        <v>165</v>
      </c>
      <c r="C134" s="134">
        <v>2559</v>
      </c>
      <c r="D134" s="134">
        <v>2559</v>
      </c>
      <c r="E134" s="135">
        <f t="shared" ref="E134:E146" si="105">C134-D134</f>
        <v>0</v>
      </c>
      <c r="F134" s="118">
        <f>357.87502</f>
        <v>357.87502000000001</v>
      </c>
      <c r="G134" s="118">
        <f>F134</f>
        <v>357.87502000000001</v>
      </c>
      <c r="H134" s="135">
        <f t="shared" ref="H134:H146" si="106">F134-G134</f>
        <v>0</v>
      </c>
      <c r="I134" s="118">
        <f>534.8956-F134</f>
        <v>177.02057999999994</v>
      </c>
      <c r="J134" s="118">
        <f>534.8956-G134</f>
        <v>177.02057999999994</v>
      </c>
      <c r="K134" s="135">
        <f t="shared" ref="K134:K146" si="107">I134-J134</f>
        <v>0</v>
      </c>
      <c r="L134" s="118">
        <v>2677.5922500000001</v>
      </c>
      <c r="M134" s="118">
        <f>L134</f>
        <v>2677.5922500000001</v>
      </c>
      <c r="N134" s="135">
        <f t="shared" ref="N134:N146" si="108">L134-M134</f>
        <v>0</v>
      </c>
      <c r="O134" s="26">
        <v>2677.5922500000001</v>
      </c>
      <c r="P134" s="26">
        <v>2677.5922500000001</v>
      </c>
      <c r="Q134" s="135">
        <f t="shared" ref="Q134:Q146" si="109">O134-P134</f>
        <v>0</v>
      </c>
      <c r="R134" s="19" t="e">
        <f t="shared" si="104"/>
        <v>#DIV/0!</v>
      </c>
      <c r="S134" s="26">
        <v>469.40949999999998</v>
      </c>
      <c r="T134" s="26">
        <v>469.40949999999998</v>
      </c>
      <c r="U134" s="135">
        <f t="shared" ref="U134:U146" si="110">S134-T134</f>
        <v>0</v>
      </c>
      <c r="V134" s="26">
        <v>157.80000000000001</v>
      </c>
      <c r="W134" s="26">
        <f>V134</f>
        <v>157.80000000000001</v>
      </c>
      <c r="X134" s="135">
        <f t="shared" ref="X134:X146" si="111">V134-W134</f>
        <v>0</v>
      </c>
      <c r="Y134" s="136">
        <v>2677.5922500000001</v>
      </c>
      <c r="Z134" s="136">
        <f>Y134</f>
        <v>2677.5922500000001</v>
      </c>
      <c r="AA134" s="135">
        <f t="shared" ref="AA134:AA146" si="112">Y134-Z134</f>
        <v>0</v>
      </c>
      <c r="AB134" s="19" t="e">
        <f t="shared" si="83"/>
        <v>#DIV/0!</v>
      </c>
    </row>
    <row r="135" spans="1:28" x14ac:dyDescent="0.25">
      <c r="A135" s="81"/>
      <c r="B135" s="83" t="s">
        <v>166</v>
      </c>
      <c r="C135" s="26">
        <v>22216</v>
      </c>
      <c r="D135" s="26">
        <v>3083</v>
      </c>
      <c r="E135" s="135">
        <f t="shared" si="105"/>
        <v>19133</v>
      </c>
      <c r="F135" s="118">
        <f>4270.2707</f>
        <v>4270.2707</v>
      </c>
      <c r="G135" s="118">
        <f>587.59806</f>
        <v>587.59806000000003</v>
      </c>
      <c r="H135" s="135">
        <f t="shared" si="106"/>
        <v>3682.6726399999998</v>
      </c>
      <c r="I135" s="118">
        <f>6050.54378-F135</f>
        <v>1780.2730799999999</v>
      </c>
      <c r="J135" s="118">
        <f>955.61884-G135</f>
        <v>368.02077999999995</v>
      </c>
      <c r="K135" s="135">
        <f t="shared" si="107"/>
        <v>1412.2523000000001</v>
      </c>
      <c r="L135" s="118">
        <v>27377.812379999999</v>
      </c>
      <c r="M135" s="118">
        <v>3340.0123800000001</v>
      </c>
      <c r="N135" s="135">
        <f t="shared" si="108"/>
        <v>24037.8</v>
      </c>
      <c r="O135" s="26">
        <v>27377.812379999999</v>
      </c>
      <c r="P135" s="26">
        <v>3340.0123800000001</v>
      </c>
      <c r="Q135" s="135">
        <f t="shared" si="109"/>
        <v>24037.8</v>
      </c>
      <c r="R135" s="19">
        <f t="shared" si="104"/>
        <v>1.2563528981341139</v>
      </c>
      <c r="S135" s="26">
        <v>3937.7576100000001</v>
      </c>
      <c r="T135" s="26">
        <v>663.62608999999998</v>
      </c>
      <c r="U135" s="135">
        <f t="shared" si="110"/>
        <v>3274.1315199999999</v>
      </c>
      <c r="V135" s="26">
        <v>2414.1999999999998</v>
      </c>
      <c r="W135" s="26">
        <v>201.3</v>
      </c>
      <c r="X135" s="135">
        <f t="shared" si="111"/>
        <v>2212.8999999999996</v>
      </c>
      <c r="Y135" s="136">
        <v>27477.812379999999</v>
      </c>
      <c r="Z135" s="136">
        <v>3340.0123800000001</v>
      </c>
      <c r="AA135" s="135">
        <f t="shared" si="112"/>
        <v>24137.8</v>
      </c>
      <c r="AB135" s="19">
        <f t="shared" si="83"/>
        <v>1.2615794700256102</v>
      </c>
    </row>
    <row r="136" spans="1:28" x14ac:dyDescent="0.25">
      <c r="A136" s="81"/>
      <c r="B136" s="83" t="s">
        <v>167</v>
      </c>
      <c r="C136" s="26">
        <v>123926</v>
      </c>
      <c r="D136" s="26">
        <v>64727</v>
      </c>
      <c r="E136" s="135">
        <f t="shared" si="105"/>
        <v>59199</v>
      </c>
      <c r="F136" s="118">
        <f>13733.45843</f>
        <v>13733.458430000001</v>
      </c>
      <c r="G136" s="118">
        <f>6126.3412</f>
        <v>6126.3411999999998</v>
      </c>
      <c r="H136" s="135">
        <f t="shared" si="106"/>
        <v>7607.1172300000007</v>
      </c>
      <c r="I136" s="118">
        <f>21050.73481-F136</f>
        <v>7317.2763800000012</v>
      </c>
      <c r="J136" s="118">
        <f>7396.15846-G136</f>
        <v>1269.8172599999998</v>
      </c>
      <c r="K136" s="135">
        <f t="shared" si="107"/>
        <v>6047.4591200000013</v>
      </c>
      <c r="L136" s="118">
        <v>133022.5662</v>
      </c>
      <c r="M136" s="118">
        <v>47321.866800000003</v>
      </c>
      <c r="N136" s="135">
        <f t="shared" si="108"/>
        <v>85700.699399999998</v>
      </c>
      <c r="O136" s="26">
        <v>278811.64409999998</v>
      </c>
      <c r="P136" s="26">
        <v>193110.94469999999</v>
      </c>
      <c r="Q136" s="135">
        <f t="shared" si="109"/>
        <v>85700.699399999983</v>
      </c>
      <c r="R136" s="19">
        <f t="shared" si="104"/>
        <v>1.4476714032331623</v>
      </c>
      <c r="S136" s="26">
        <v>16063.016</v>
      </c>
      <c r="T136" s="26">
        <v>650.55017999999995</v>
      </c>
      <c r="U136" s="135">
        <f t="shared" si="110"/>
        <v>15412.465819999999</v>
      </c>
      <c r="V136" s="26">
        <v>7112.3</v>
      </c>
      <c r="W136" s="26">
        <v>1045.2</v>
      </c>
      <c r="X136" s="135">
        <f t="shared" si="111"/>
        <v>6067.1</v>
      </c>
      <c r="Y136" s="136">
        <v>280293.47710000002</v>
      </c>
      <c r="Z136" s="136">
        <v>193110.94469999999</v>
      </c>
      <c r="AA136" s="135">
        <f t="shared" si="112"/>
        <v>87182.532400000026</v>
      </c>
      <c r="AB136" s="19">
        <f t="shared" si="83"/>
        <v>1.4727027888984616</v>
      </c>
    </row>
    <row r="137" spans="1:28" x14ac:dyDescent="0.25">
      <c r="A137" s="81"/>
      <c r="B137" s="83" t="s">
        <v>168</v>
      </c>
      <c r="C137" s="26">
        <v>389260</v>
      </c>
      <c r="D137" s="26">
        <v>128306</v>
      </c>
      <c r="E137" s="135">
        <f t="shared" si="105"/>
        <v>260954</v>
      </c>
      <c r="F137" s="118">
        <f>95399.50808</f>
        <v>95399.50808</v>
      </c>
      <c r="G137" s="118">
        <f>57911.66129</f>
        <v>57911.661289999996</v>
      </c>
      <c r="H137" s="135">
        <f t="shared" si="106"/>
        <v>37487.846790000003</v>
      </c>
      <c r="I137" s="118">
        <f>108769.48633-F137</f>
        <v>13369.97825</v>
      </c>
      <c r="J137" s="118">
        <f>58428.32845-G137</f>
        <v>516.66716000000451</v>
      </c>
      <c r="K137" s="135">
        <f t="shared" si="107"/>
        <v>12853.311089999996</v>
      </c>
      <c r="L137" s="118">
        <v>349420.55729999999</v>
      </c>
      <c r="M137" s="118">
        <v>90192.642370000001</v>
      </c>
      <c r="N137" s="135">
        <f t="shared" si="108"/>
        <v>259227.91492999997</v>
      </c>
      <c r="O137" s="26">
        <v>473304.00248999998</v>
      </c>
      <c r="P137" s="26">
        <v>213676.08756000001</v>
      </c>
      <c r="Q137" s="135">
        <f t="shared" si="109"/>
        <v>259627.91492999997</v>
      </c>
      <c r="R137" s="19">
        <f t="shared" si="104"/>
        <v>0.99491831866919067</v>
      </c>
      <c r="S137" s="26">
        <v>48399.517930000002</v>
      </c>
      <c r="T137" s="26">
        <v>27204.439129999999</v>
      </c>
      <c r="U137" s="135">
        <f t="shared" si="110"/>
        <v>21195.078800000003</v>
      </c>
      <c r="V137" s="26">
        <f>7448.26664+33.82224+543.19722+731.55763+18.55189+929.8+0.6+201.9+13.8+18745.6</f>
        <v>28667.09562</v>
      </c>
      <c r="W137" s="26">
        <f>7075.85331</f>
        <v>7075.8533100000004</v>
      </c>
      <c r="X137" s="135">
        <f t="shared" si="111"/>
        <v>21591.242310000001</v>
      </c>
      <c r="Y137" s="136">
        <v>634174.24598999997</v>
      </c>
      <c r="Z137" s="136">
        <f>354512.72121+90+526+215</f>
        <v>355343.72120999999</v>
      </c>
      <c r="AA137" s="135">
        <f t="shared" si="112"/>
        <v>278830.52477999998</v>
      </c>
      <c r="AB137" s="19">
        <f t="shared" si="83"/>
        <v>1.0685045056983222</v>
      </c>
    </row>
    <row r="138" spans="1:28" x14ac:dyDescent="0.25">
      <c r="A138" s="81"/>
      <c r="B138" s="83" t="s">
        <v>169</v>
      </c>
      <c r="C138" s="26">
        <v>9611</v>
      </c>
      <c r="D138" s="26">
        <v>3271</v>
      </c>
      <c r="E138" s="135">
        <f t="shared" si="105"/>
        <v>6340</v>
      </c>
      <c r="F138" s="118">
        <v>50</v>
      </c>
      <c r="G138" s="118"/>
      <c r="H138" s="135">
        <f t="shared" si="106"/>
        <v>50</v>
      </c>
      <c r="I138" s="118">
        <f>50-F138</f>
        <v>0</v>
      </c>
      <c r="J138" s="118">
        <f>0-G138</f>
        <v>0</v>
      </c>
      <c r="K138" s="135">
        <f t="shared" si="107"/>
        <v>0</v>
      </c>
      <c r="L138" s="118">
        <v>48415.4</v>
      </c>
      <c r="M138" s="118">
        <v>0</v>
      </c>
      <c r="N138" s="135">
        <f t="shared" si="108"/>
        <v>48415.4</v>
      </c>
      <c r="O138" s="26">
        <v>48415.4</v>
      </c>
      <c r="P138" s="26"/>
      <c r="Q138" s="135">
        <f t="shared" si="109"/>
        <v>48415.4</v>
      </c>
      <c r="R138" s="19">
        <f t="shared" si="104"/>
        <v>7.6364984227129336</v>
      </c>
      <c r="S138" s="26">
        <v>0</v>
      </c>
      <c r="T138" s="26"/>
      <c r="U138" s="135">
        <f t="shared" si="110"/>
        <v>0</v>
      </c>
      <c r="V138" s="26">
        <v>0</v>
      </c>
      <c r="W138" s="26">
        <v>0</v>
      </c>
      <c r="X138" s="135">
        <f t="shared" si="111"/>
        <v>0</v>
      </c>
      <c r="Y138" s="136">
        <v>52529.317779999998</v>
      </c>
      <c r="Z138" s="136">
        <v>0</v>
      </c>
      <c r="AA138" s="135">
        <f t="shared" si="112"/>
        <v>52529.317779999998</v>
      </c>
      <c r="AB138" s="19">
        <f t="shared" si="83"/>
        <v>8.2853813533123031</v>
      </c>
    </row>
    <row r="139" spans="1:28" x14ac:dyDescent="0.25">
      <c r="A139" s="81"/>
      <c r="B139" s="83" t="s">
        <v>170</v>
      </c>
      <c r="C139" s="26">
        <v>1699241</v>
      </c>
      <c r="D139" s="26">
        <v>1154977</v>
      </c>
      <c r="E139" s="135">
        <f t="shared" si="105"/>
        <v>544264</v>
      </c>
      <c r="F139" s="118">
        <f>300869.38233</f>
        <v>300869.38232999999</v>
      </c>
      <c r="G139" s="118">
        <f>220509.55774</f>
        <v>220509.55773999999</v>
      </c>
      <c r="H139" s="135">
        <f t="shared" si="106"/>
        <v>80359.824590000004</v>
      </c>
      <c r="I139" s="118">
        <f>407088.22795-F139</f>
        <v>106218.84561999998</v>
      </c>
      <c r="J139" s="118">
        <f>280081.78174-G139</f>
        <v>59572.224000000017</v>
      </c>
      <c r="K139" s="135">
        <f t="shared" si="107"/>
        <v>46646.621619999962</v>
      </c>
      <c r="L139" s="118">
        <v>1931927.12225</v>
      </c>
      <c r="M139" s="118">
        <v>1392298.9222500001</v>
      </c>
      <c r="N139" s="135">
        <f t="shared" si="108"/>
        <v>539628.19999999995</v>
      </c>
      <c r="O139" s="26">
        <v>1935054.37555</v>
      </c>
      <c r="P139" s="26">
        <v>1395426.17555</v>
      </c>
      <c r="Q139" s="135">
        <f t="shared" si="109"/>
        <v>539628.19999999995</v>
      </c>
      <c r="R139" s="19">
        <f t="shared" si="104"/>
        <v>0.99148244234415639</v>
      </c>
      <c r="S139" s="26">
        <v>345129.14367000002</v>
      </c>
      <c r="T139" s="26">
        <v>255318.78766</v>
      </c>
      <c r="U139" s="135">
        <f t="shared" si="110"/>
        <v>89810.356010000018</v>
      </c>
      <c r="V139" s="26">
        <f>148745.2-8192</f>
        <v>140553.20000000001</v>
      </c>
      <c r="W139" s="26">
        <f>69253.1+122.5</f>
        <v>69375.600000000006</v>
      </c>
      <c r="X139" s="135">
        <f t="shared" si="111"/>
        <v>71177.600000000006</v>
      </c>
      <c r="Y139" s="136">
        <v>1953418.5926999999</v>
      </c>
      <c r="Z139" s="136">
        <f>1274+130+1407497.28149</f>
        <v>1408901.28149</v>
      </c>
      <c r="AA139" s="135">
        <f t="shared" si="112"/>
        <v>544517.31120999996</v>
      </c>
      <c r="AB139" s="19">
        <f t="shared" si="83"/>
        <v>1.0004654197411549</v>
      </c>
    </row>
    <row r="140" spans="1:28" x14ac:dyDescent="0.25">
      <c r="A140" s="81"/>
      <c r="B140" s="83" t="s">
        <v>171</v>
      </c>
      <c r="C140" s="26">
        <v>312117</v>
      </c>
      <c r="D140" s="26">
        <v>215747</v>
      </c>
      <c r="E140" s="135">
        <f t="shared" si="105"/>
        <v>96370</v>
      </c>
      <c r="F140" s="118">
        <f>37481.4303</f>
        <v>37481.4303</v>
      </c>
      <c r="G140" s="118">
        <f>22989.6</f>
        <v>22989.599999999999</v>
      </c>
      <c r="H140" s="135">
        <f t="shared" si="106"/>
        <v>14491.830300000001</v>
      </c>
      <c r="I140" s="118">
        <f>56435.2917-F140</f>
        <v>18953.861400000002</v>
      </c>
      <c r="J140" s="118">
        <f>30651.375-G140</f>
        <v>7661.7750000000015</v>
      </c>
      <c r="K140" s="135">
        <f t="shared" si="107"/>
        <v>11292.0864</v>
      </c>
      <c r="L140" s="118">
        <v>209813.64</v>
      </c>
      <c r="M140" s="118">
        <f>118321.6388+22.6</f>
        <v>118344.23880000001</v>
      </c>
      <c r="N140" s="135">
        <f t="shared" si="108"/>
        <v>91469.401200000008</v>
      </c>
      <c r="O140" s="26">
        <v>219813.64</v>
      </c>
      <c r="P140" s="26">
        <v>128321.6388</v>
      </c>
      <c r="Q140" s="135">
        <f t="shared" si="109"/>
        <v>91492.001200000013</v>
      </c>
      <c r="R140" s="19">
        <f t="shared" si="104"/>
        <v>0.94938260039431377</v>
      </c>
      <c r="S140" s="26">
        <v>41408.30904</v>
      </c>
      <c r="T140" s="26">
        <v>26134.825000000001</v>
      </c>
      <c r="U140" s="135">
        <f t="shared" si="110"/>
        <v>15273.484039999999</v>
      </c>
      <c r="V140" s="26">
        <v>15415.2</v>
      </c>
      <c r="W140" s="26">
        <v>11411.2</v>
      </c>
      <c r="X140" s="135">
        <f t="shared" si="111"/>
        <v>4004</v>
      </c>
      <c r="Y140" s="136">
        <v>222017.58334000001</v>
      </c>
      <c r="Z140" s="136">
        <v>128321.6388</v>
      </c>
      <c r="AA140" s="135">
        <f t="shared" si="112"/>
        <v>93695.944540000011</v>
      </c>
      <c r="AB140" s="19">
        <f t="shared" si="83"/>
        <v>0.97225220026979364</v>
      </c>
    </row>
    <row r="141" spans="1:28" x14ac:dyDescent="0.25">
      <c r="A141" s="81"/>
      <c r="B141" s="83" t="s">
        <v>172</v>
      </c>
      <c r="C141" s="26"/>
      <c r="D141" s="26"/>
      <c r="E141" s="135">
        <f t="shared" si="105"/>
        <v>0</v>
      </c>
      <c r="F141" s="118"/>
      <c r="G141" s="118"/>
      <c r="H141" s="135">
        <f t="shared" si="106"/>
        <v>0</v>
      </c>
      <c r="I141" s="118"/>
      <c r="J141" s="118"/>
      <c r="K141" s="135">
        <f t="shared" si="107"/>
        <v>0</v>
      </c>
      <c r="L141" s="118"/>
      <c r="M141" s="118"/>
      <c r="N141" s="135">
        <f t="shared" si="108"/>
        <v>0</v>
      </c>
      <c r="O141" s="26"/>
      <c r="P141" s="26"/>
      <c r="Q141" s="135">
        <f t="shared" si="109"/>
        <v>0</v>
      </c>
      <c r="R141" s="19" t="e">
        <f t="shared" si="104"/>
        <v>#DIV/0!</v>
      </c>
      <c r="S141" s="26"/>
      <c r="T141" s="26"/>
      <c r="U141" s="135">
        <f t="shared" si="110"/>
        <v>0</v>
      </c>
      <c r="V141" s="26"/>
      <c r="W141" s="26"/>
      <c r="X141" s="135">
        <f t="shared" si="111"/>
        <v>0</v>
      </c>
      <c r="Y141" s="136"/>
      <c r="Z141" s="136"/>
      <c r="AA141" s="135">
        <f t="shared" si="112"/>
        <v>0</v>
      </c>
      <c r="AB141" s="19" t="e">
        <f t="shared" si="83"/>
        <v>#DIV/0!</v>
      </c>
    </row>
    <row r="142" spans="1:28" x14ac:dyDescent="0.25">
      <c r="A142" s="81"/>
      <c r="B142" s="83" t="s">
        <v>173</v>
      </c>
      <c r="C142" s="26">
        <v>104911</v>
      </c>
      <c r="D142" s="26">
        <v>98787</v>
      </c>
      <c r="E142" s="135">
        <f t="shared" si="105"/>
        <v>6124</v>
      </c>
      <c r="F142" s="118">
        <f>23514.13697</f>
        <v>23514.13697</v>
      </c>
      <c r="G142" s="118">
        <f>22487.52245</f>
        <v>22487.52245</v>
      </c>
      <c r="H142" s="135">
        <f t="shared" si="106"/>
        <v>1026.6145199999992</v>
      </c>
      <c r="I142" s="118">
        <f>31316.60174-F142</f>
        <v>7802.4647699999987</v>
      </c>
      <c r="J142" s="118">
        <f>29800.46647-G142</f>
        <v>7312.944019999999</v>
      </c>
      <c r="K142" s="135">
        <f t="shared" si="107"/>
        <v>489.52074999999968</v>
      </c>
      <c r="L142" s="118">
        <v>124867.92110000001</v>
      </c>
      <c r="M142" s="118">
        <f>118272.0211-22.6</f>
        <v>118249.42109999999</v>
      </c>
      <c r="N142" s="135">
        <f t="shared" si="108"/>
        <v>6618.5000000000146</v>
      </c>
      <c r="O142" s="26">
        <v>124867.92110000001</v>
      </c>
      <c r="P142" s="26">
        <v>118272.0211</v>
      </c>
      <c r="Q142" s="135">
        <f t="shared" si="109"/>
        <v>6595.9000000000087</v>
      </c>
      <c r="R142" s="19">
        <f t="shared" si="104"/>
        <v>1.0770574787720459</v>
      </c>
      <c r="S142" s="26">
        <v>25879.399290000001</v>
      </c>
      <c r="T142" s="26">
        <v>24824.561140000002</v>
      </c>
      <c r="U142" s="135">
        <f t="shared" si="110"/>
        <v>1054.8381499999996</v>
      </c>
      <c r="V142" s="26">
        <v>8711.2000000000007</v>
      </c>
      <c r="W142" s="26">
        <v>8275.5</v>
      </c>
      <c r="X142" s="135">
        <f t="shared" si="111"/>
        <v>435.70000000000073</v>
      </c>
      <c r="Y142" s="136">
        <v>125314.6211</v>
      </c>
      <c r="Z142" s="136">
        <v>118272.0211</v>
      </c>
      <c r="AA142" s="135">
        <f t="shared" si="112"/>
        <v>7042.6000000000058</v>
      </c>
      <c r="AB142" s="19">
        <f t="shared" si="83"/>
        <v>1.150000000000001</v>
      </c>
    </row>
    <row r="143" spans="1:28" x14ac:dyDescent="0.25">
      <c r="A143" s="81"/>
      <c r="B143" s="83" t="s">
        <v>174</v>
      </c>
      <c r="C143" s="26">
        <v>119444</v>
      </c>
      <c r="D143" s="26">
        <v>28351</v>
      </c>
      <c r="E143" s="135">
        <f t="shared" si="105"/>
        <v>91093</v>
      </c>
      <c r="F143" s="118">
        <f>21743.3745</f>
        <v>21743.374500000002</v>
      </c>
      <c r="G143" s="118">
        <f>5980.475</f>
        <v>5980.4750000000004</v>
      </c>
      <c r="H143" s="135">
        <f t="shared" si="106"/>
        <v>15762.899500000001</v>
      </c>
      <c r="I143" s="118">
        <f>29935.39258-F143</f>
        <v>8192.018079999998</v>
      </c>
      <c r="J143" s="118">
        <f>8123.1-G143</f>
        <v>2142.625</v>
      </c>
      <c r="K143" s="135">
        <f t="shared" si="107"/>
        <v>6049.393079999998</v>
      </c>
      <c r="L143" s="118">
        <v>116779.867</v>
      </c>
      <c r="M143" s="118">
        <v>30630.636999999999</v>
      </c>
      <c r="N143" s="135">
        <f t="shared" si="108"/>
        <v>86149.23</v>
      </c>
      <c r="O143" s="26">
        <v>121179.367</v>
      </c>
      <c r="P143" s="26">
        <v>35030.137000000002</v>
      </c>
      <c r="Q143" s="135">
        <f t="shared" si="109"/>
        <v>86149.23</v>
      </c>
      <c r="R143" s="19">
        <f t="shared" si="104"/>
        <v>0.94572832160539222</v>
      </c>
      <c r="S143" s="26">
        <v>19582.150689999999</v>
      </c>
      <c r="T143" s="26">
        <v>7731.2062500000002</v>
      </c>
      <c r="U143" s="135">
        <f t="shared" si="110"/>
        <v>11850.944439999999</v>
      </c>
      <c r="V143" s="26">
        <v>7987.4</v>
      </c>
      <c r="W143" s="26">
        <v>3745.6</v>
      </c>
      <c r="X143" s="135">
        <f t="shared" si="111"/>
        <v>4241.7999999999993</v>
      </c>
      <c r="Y143" s="136">
        <v>128060.867</v>
      </c>
      <c r="Z143" s="136">
        <f>400.5+40629.637</f>
        <v>41030.137000000002</v>
      </c>
      <c r="AA143" s="135">
        <f t="shared" si="112"/>
        <v>87030.73</v>
      </c>
      <c r="AB143" s="19">
        <f t="shared" si="83"/>
        <v>0.95540524518898262</v>
      </c>
    </row>
    <row r="144" spans="1:28" x14ac:dyDescent="0.25">
      <c r="A144" s="81"/>
      <c r="B144" s="83" t="s">
        <v>175</v>
      </c>
      <c r="C144" s="26">
        <v>9219</v>
      </c>
      <c r="D144" s="26"/>
      <c r="E144" s="135">
        <f t="shared" si="105"/>
        <v>9219</v>
      </c>
      <c r="F144" s="118">
        <f>1800.05207</f>
        <v>1800.05207</v>
      </c>
      <c r="G144" s="118"/>
      <c r="H144" s="135">
        <f t="shared" si="106"/>
        <v>1800.05207</v>
      </c>
      <c r="I144" s="118">
        <f>2800.05207-F144</f>
        <v>1000.0000000000002</v>
      </c>
      <c r="J144" s="118">
        <f>0-G144</f>
        <v>0</v>
      </c>
      <c r="K144" s="135">
        <f t="shared" si="107"/>
        <v>1000.0000000000002</v>
      </c>
      <c r="L144" s="118">
        <v>9592.9</v>
      </c>
      <c r="M144" s="118"/>
      <c r="N144" s="135">
        <f t="shared" si="108"/>
        <v>9592.9</v>
      </c>
      <c r="O144" s="26">
        <v>9592.9</v>
      </c>
      <c r="P144" s="26">
        <v>0</v>
      </c>
      <c r="Q144" s="135">
        <f t="shared" si="109"/>
        <v>9592.9</v>
      </c>
      <c r="R144" s="19">
        <f t="shared" si="104"/>
        <v>1.040557544202191</v>
      </c>
      <c r="S144" s="26">
        <v>1755.80133</v>
      </c>
      <c r="T144" s="26">
        <v>0</v>
      </c>
      <c r="U144" s="135">
        <f t="shared" si="110"/>
        <v>1755.80133</v>
      </c>
      <c r="V144" s="26">
        <v>2000</v>
      </c>
      <c r="W144" s="26">
        <v>0</v>
      </c>
      <c r="X144" s="135">
        <f t="shared" si="111"/>
        <v>2000</v>
      </c>
      <c r="Y144" s="136">
        <v>9592.9</v>
      </c>
      <c r="Z144" s="136">
        <v>0</v>
      </c>
      <c r="AA144" s="135">
        <f t="shared" si="112"/>
        <v>9592.9</v>
      </c>
      <c r="AB144" s="19">
        <f t="shared" si="83"/>
        <v>1.040557544202191</v>
      </c>
    </row>
    <row r="145" spans="1:28" x14ac:dyDescent="0.25">
      <c r="A145" s="81"/>
      <c r="B145" s="83" t="s">
        <v>176</v>
      </c>
      <c r="C145" s="26">
        <v>81</v>
      </c>
      <c r="D145" s="26"/>
      <c r="E145" s="135">
        <f t="shared" si="105"/>
        <v>81</v>
      </c>
      <c r="F145" s="118">
        <v>0</v>
      </c>
      <c r="G145" s="118"/>
      <c r="H145" s="135">
        <f t="shared" si="106"/>
        <v>0</v>
      </c>
      <c r="I145" s="118">
        <f>0-F145</f>
        <v>0</v>
      </c>
      <c r="J145" s="118"/>
      <c r="K145" s="135">
        <f t="shared" si="107"/>
        <v>0</v>
      </c>
      <c r="L145" s="118">
        <v>143.5</v>
      </c>
      <c r="M145" s="118"/>
      <c r="N145" s="135">
        <f t="shared" si="108"/>
        <v>143.5</v>
      </c>
      <c r="O145" s="26">
        <v>143.5</v>
      </c>
      <c r="P145" s="26">
        <v>0</v>
      </c>
      <c r="Q145" s="135">
        <f t="shared" si="109"/>
        <v>143.5</v>
      </c>
      <c r="R145" s="19">
        <f t="shared" si="104"/>
        <v>1.771604938271605</v>
      </c>
      <c r="S145" s="26">
        <v>0</v>
      </c>
      <c r="T145" s="26">
        <v>0</v>
      </c>
      <c r="U145" s="135">
        <f t="shared" si="110"/>
        <v>0</v>
      </c>
      <c r="V145" s="26">
        <v>0</v>
      </c>
      <c r="W145" s="26"/>
      <c r="X145" s="135">
        <f t="shared" si="111"/>
        <v>0</v>
      </c>
      <c r="Y145" s="136">
        <v>143.5</v>
      </c>
      <c r="Z145" s="136">
        <v>0</v>
      </c>
      <c r="AA145" s="135">
        <f t="shared" si="112"/>
        <v>143.5</v>
      </c>
      <c r="AB145" s="19">
        <f t="shared" si="83"/>
        <v>1.771604938271605</v>
      </c>
    </row>
    <row r="146" spans="1:28" x14ac:dyDescent="0.25">
      <c r="A146" s="81"/>
      <c r="B146" s="83" t="s">
        <v>177</v>
      </c>
      <c r="C146" s="26"/>
      <c r="D146" s="26"/>
      <c r="E146" s="135">
        <f t="shared" si="105"/>
        <v>0</v>
      </c>
      <c r="F146" s="118"/>
      <c r="G146" s="118"/>
      <c r="H146" s="135">
        <f t="shared" si="106"/>
        <v>0</v>
      </c>
      <c r="I146" s="118"/>
      <c r="J146" s="118"/>
      <c r="K146" s="135">
        <f t="shared" si="107"/>
        <v>0</v>
      </c>
      <c r="L146" s="118"/>
      <c r="M146" s="118"/>
      <c r="N146" s="135">
        <f t="shared" si="108"/>
        <v>0</v>
      </c>
      <c r="O146" s="26"/>
      <c r="P146" s="26"/>
      <c r="Q146" s="135">
        <f t="shared" si="109"/>
        <v>0</v>
      </c>
      <c r="R146" s="19" t="e">
        <f t="shared" si="104"/>
        <v>#DIV/0!</v>
      </c>
      <c r="S146" s="26"/>
      <c r="T146" s="26"/>
      <c r="U146" s="135">
        <f t="shared" si="110"/>
        <v>0</v>
      </c>
      <c r="V146" s="26"/>
      <c r="W146" s="26"/>
      <c r="X146" s="135">
        <f t="shared" si="111"/>
        <v>0</v>
      </c>
      <c r="Y146" s="26"/>
      <c r="Z146" s="26"/>
      <c r="AA146" s="135">
        <f t="shared" si="112"/>
        <v>0</v>
      </c>
      <c r="AB146" s="19" t="e">
        <f t="shared" si="83"/>
        <v>#DIV/0!</v>
      </c>
    </row>
    <row r="147" spans="1:28" x14ac:dyDescent="0.25">
      <c r="A147" s="81"/>
      <c r="B147" s="84" t="s">
        <v>178</v>
      </c>
      <c r="C147" s="27">
        <f>SUM(C133:C146)</f>
        <v>3156520</v>
      </c>
      <c r="D147" s="27">
        <f t="shared" ref="D147:AA147" si="113">SUM(D133:D146)</f>
        <v>1705868</v>
      </c>
      <c r="E147" s="28">
        <f t="shared" si="113"/>
        <v>1450652</v>
      </c>
      <c r="F147" s="27">
        <f t="shared" si="113"/>
        <v>565799.45545999997</v>
      </c>
      <c r="G147" s="27">
        <f t="shared" si="113"/>
        <v>337121.91876999993</v>
      </c>
      <c r="H147" s="27">
        <f t="shared" si="113"/>
        <v>228677.53669000001</v>
      </c>
      <c r="I147" s="27">
        <f t="shared" si="113"/>
        <v>191606.39696999997</v>
      </c>
      <c r="J147" s="27">
        <f t="shared" si="113"/>
        <v>79115.922490000026</v>
      </c>
      <c r="K147" s="27">
        <f t="shared" si="113"/>
        <v>112490.47447999996</v>
      </c>
      <c r="L147" s="27">
        <f t="shared" si="113"/>
        <v>3360107.6049799998</v>
      </c>
      <c r="M147" s="27">
        <f t="shared" si="113"/>
        <v>1804128.5594500001</v>
      </c>
      <c r="N147" s="27">
        <f t="shared" si="113"/>
        <v>1555979.0455299998</v>
      </c>
      <c r="O147" s="27">
        <f t="shared" si="113"/>
        <v>3646906.8813700001</v>
      </c>
      <c r="P147" s="27">
        <f t="shared" si="113"/>
        <v>2090927.8358400003</v>
      </c>
      <c r="Q147" s="27">
        <f t="shared" si="113"/>
        <v>1555979.0455299998</v>
      </c>
      <c r="R147" s="19">
        <f t="shared" si="104"/>
        <v>1.0726066937694221</v>
      </c>
      <c r="S147" s="27">
        <f t="shared" si="113"/>
        <v>575204.65351000009</v>
      </c>
      <c r="T147" s="27">
        <f t="shared" si="113"/>
        <v>343180.60852000001</v>
      </c>
      <c r="U147" s="27">
        <f t="shared" si="113"/>
        <v>232024.04498999999</v>
      </c>
      <c r="V147" s="27">
        <f t="shared" si="113"/>
        <v>240430.69562000004</v>
      </c>
      <c r="W147" s="27">
        <f t="shared" si="113"/>
        <v>101350.35331000001</v>
      </c>
      <c r="X147" s="27">
        <f t="shared" si="113"/>
        <v>139080.34231000001</v>
      </c>
      <c r="Y147" s="27">
        <f t="shared" si="113"/>
        <v>3869246.1183099998</v>
      </c>
      <c r="Z147" s="27">
        <f t="shared" si="113"/>
        <v>2252070.5754300002</v>
      </c>
      <c r="AA147" s="27">
        <f t="shared" si="113"/>
        <v>1617175.5428800001</v>
      </c>
      <c r="AB147" s="19">
        <f t="shared" si="83"/>
        <v>1.1147922057667863</v>
      </c>
    </row>
    <row r="148" spans="1:28" x14ac:dyDescent="0.25">
      <c r="A148" s="81"/>
      <c r="B148" s="84" t="s">
        <v>179</v>
      </c>
      <c r="C148" s="137">
        <f t="shared" ref="C148:Q148" si="114">C104-C147</f>
        <v>-0.10730000026524067</v>
      </c>
      <c r="D148" s="137">
        <f t="shared" si="114"/>
        <v>-0.33297000010497868</v>
      </c>
      <c r="E148" s="137">
        <f t="shared" si="114"/>
        <v>0.22566999983973801</v>
      </c>
      <c r="F148" s="137">
        <f t="shared" si="114"/>
        <v>0</v>
      </c>
      <c r="G148" s="137">
        <f t="shared" si="114"/>
        <v>0</v>
      </c>
      <c r="H148" s="137">
        <f t="shared" si="114"/>
        <v>0</v>
      </c>
      <c r="I148" s="137">
        <f t="shared" si="114"/>
        <v>0</v>
      </c>
      <c r="J148" s="137">
        <f t="shared" si="114"/>
        <v>0</v>
      </c>
      <c r="K148" s="137">
        <f t="shared" si="114"/>
        <v>0</v>
      </c>
      <c r="L148" s="27">
        <f t="shared" si="114"/>
        <v>0</v>
      </c>
      <c r="M148" s="27">
        <f t="shared" si="114"/>
        <v>0</v>
      </c>
      <c r="N148" s="27">
        <f t="shared" si="114"/>
        <v>0</v>
      </c>
      <c r="O148" s="27">
        <f t="shared" si="114"/>
        <v>0</v>
      </c>
      <c r="P148" s="27">
        <f t="shared" si="114"/>
        <v>0</v>
      </c>
      <c r="Q148" s="27">
        <f t="shared" si="114"/>
        <v>0</v>
      </c>
      <c r="R148" s="138"/>
      <c r="S148" s="27">
        <f t="shared" ref="S148:AA148" si="115">S104-S147</f>
        <v>0</v>
      </c>
      <c r="T148" s="27">
        <f t="shared" si="115"/>
        <v>0</v>
      </c>
      <c r="U148" s="27">
        <f t="shared" si="115"/>
        <v>0</v>
      </c>
      <c r="V148" s="27">
        <f t="shared" si="115"/>
        <v>-0.21946000005118549</v>
      </c>
      <c r="W148" s="27">
        <f t="shared" si="115"/>
        <v>-3.3100000146077946E-3</v>
      </c>
      <c r="X148" s="27">
        <f t="shared" si="115"/>
        <v>-0.21615000002202578</v>
      </c>
      <c r="Y148" s="27">
        <f t="shared" si="115"/>
        <v>0</v>
      </c>
      <c r="Z148" s="27">
        <f t="shared" si="115"/>
        <v>0</v>
      </c>
      <c r="AA148" s="27">
        <f t="shared" si="115"/>
        <v>0</v>
      </c>
      <c r="AB148" s="19"/>
    </row>
    <row r="149" spans="1:28" x14ac:dyDescent="0.25">
      <c r="A149" s="76" t="s">
        <v>180</v>
      </c>
      <c r="B149" s="85" t="s">
        <v>181</v>
      </c>
      <c r="C149" s="139"/>
      <c r="D149" s="139"/>
      <c r="E149" s="140"/>
      <c r="F149" s="140"/>
      <c r="G149" s="139"/>
      <c r="H149" s="139"/>
      <c r="I149" s="139"/>
      <c r="J149" s="139"/>
      <c r="K149" s="139"/>
      <c r="L149" s="141"/>
      <c r="M149" s="141"/>
      <c r="N149" s="141"/>
      <c r="O149" s="141"/>
      <c r="P149" s="141"/>
      <c r="Q149" s="141"/>
      <c r="R149" s="138"/>
      <c r="S149" s="142"/>
      <c r="T149" s="141"/>
      <c r="U149" s="141"/>
      <c r="V149" s="142"/>
      <c r="W149" s="141"/>
      <c r="X149" s="141"/>
      <c r="Y149" s="142"/>
      <c r="Z149" s="141"/>
      <c r="AA149" s="141"/>
      <c r="AB149" s="19"/>
    </row>
    <row r="150" spans="1:28" x14ac:dyDescent="0.25">
      <c r="A150" s="15" t="s">
        <v>182</v>
      </c>
      <c r="B150" s="25" t="s">
        <v>183</v>
      </c>
      <c r="C150" s="139" t="s">
        <v>184</v>
      </c>
      <c r="D150" s="140" t="s">
        <v>184</v>
      </c>
      <c r="E150" s="140" t="s">
        <v>184</v>
      </c>
      <c r="F150" s="139" t="s">
        <v>184</v>
      </c>
      <c r="G150" s="139" t="s">
        <v>184</v>
      </c>
      <c r="H150" s="139" t="s">
        <v>184</v>
      </c>
      <c r="I150" s="139" t="s">
        <v>184</v>
      </c>
      <c r="J150" s="139" t="s">
        <v>184</v>
      </c>
      <c r="K150" s="141" t="s">
        <v>184</v>
      </c>
      <c r="L150" s="141" t="s">
        <v>184</v>
      </c>
      <c r="M150" s="141" t="s">
        <v>184</v>
      </c>
      <c r="N150" s="141" t="s">
        <v>184</v>
      </c>
      <c r="O150" s="141" t="s">
        <v>184</v>
      </c>
      <c r="P150" s="141" t="s">
        <v>184</v>
      </c>
      <c r="Q150" s="138" t="s">
        <v>184</v>
      </c>
      <c r="R150" s="139" t="s">
        <v>184</v>
      </c>
      <c r="S150" s="140" t="s">
        <v>184</v>
      </c>
      <c r="T150" s="140" t="s">
        <v>184</v>
      </c>
      <c r="U150" s="139" t="s">
        <v>184</v>
      </c>
      <c r="V150" s="139" t="s">
        <v>184</v>
      </c>
      <c r="W150" s="139" t="s">
        <v>184</v>
      </c>
      <c r="X150" s="139" t="s">
        <v>184</v>
      </c>
      <c r="Y150" s="139" t="s">
        <v>184</v>
      </c>
      <c r="Z150" s="141" t="s">
        <v>184</v>
      </c>
      <c r="AA150" s="141" t="s">
        <v>184</v>
      </c>
      <c r="AB150" s="141" t="s">
        <v>184</v>
      </c>
    </row>
    <row r="151" spans="1:28" x14ac:dyDescent="0.25">
      <c r="A151" s="15"/>
      <c r="B151" s="34" t="s">
        <v>185</v>
      </c>
      <c r="C151" s="35">
        <v>68182</v>
      </c>
      <c r="D151" s="35">
        <v>51246</v>
      </c>
      <c r="E151" s="36">
        <f t="shared" ref="E151:E152" si="116">C151-D151</f>
        <v>16936</v>
      </c>
      <c r="F151" s="35">
        <v>6331.43</v>
      </c>
      <c r="G151" s="35">
        <v>0</v>
      </c>
      <c r="H151" s="36">
        <f t="shared" ref="H151:H152" si="117">F151-G151</f>
        <v>6331.43</v>
      </c>
      <c r="I151" s="35">
        <f>6331.43-F151</f>
        <v>0</v>
      </c>
      <c r="J151" s="35">
        <f>0</f>
        <v>0</v>
      </c>
      <c r="K151" s="36">
        <f t="shared" ref="K151:K152" si="118">I151-J151</f>
        <v>0</v>
      </c>
      <c r="L151" s="35">
        <v>61235.711199999998</v>
      </c>
      <c r="M151" s="35">
        <v>44130.611199999999</v>
      </c>
      <c r="N151" s="36">
        <f t="shared" ref="N151:N152" si="119">L151-M151</f>
        <v>17105.099999999999</v>
      </c>
      <c r="O151" s="35">
        <v>61235.711199999998</v>
      </c>
      <c r="P151" s="35">
        <v>44130.611199999999</v>
      </c>
      <c r="Q151" s="36">
        <f t="shared" ref="Q151:Q152" si="120">O151-P151</f>
        <v>17105.099999999999</v>
      </c>
      <c r="R151" s="37">
        <f t="shared" ref="R151:R152" si="121">Q151/E151</f>
        <v>1.0099846480869155</v>
      </c>
      <c r="S151" s="35">
        <v>4508.3599999999997</v>
      </c>
      <c r="T151" s="35">
        <v>0</v>
      </c>
      <c r="U151" s="36">
        <f t="shared" ref="U151:U152" si="122">S151-T151</f>
        <v>4508.3599999999997</v>
      </c>
      <c r="V151" s="26">
        <v>156.91498000000001</v>
      </c>
      <c r="W151" s="35">
        <v>0</v>
      </c>
      <c r="X151" s="36">
        <f t="shared" ref="X151:X152" si="123">V151-W151</f>
        <v>156.91498000000001</v>
      </c>
      <c r="Y151" s="35">
        <v>198779.59</v>
      </c>
      <c r="Z151" s="35">
        <f>Z152</f>
        <v>181674.48910000001</v>
      </c>
      <c r="AA151" s="36">
        <f t="shared" ref="AA151:AA152" si="124">Y151-Z151</f>
        <v>17105.10089999999</v>
      </c>
      <c r="AB151" s="37">
        <f t="shared" ref="AB151:AB152" si="125">AA151/E151</f>
        <v>1.0099847012281524</v>
      </c>
    </row>
    <row r="152" spans="1:28" x14ac:dyDescent="0.25">
      <c r="A152" s="15"/>
      <c r="B152" s="86" t="s">
        <v>186</v>
      </c>
      <c r="C152" s="35">
        <v>74008</v>
      </c>
      <c r="D152" s="35">
        <v>51246</v>
      </c>
      <c r="E152" s="36">
        <f t="shared" si="116"/>
        <v>22762</v>
      </c>
      <c r="F152" s="35">
        <f>F151</f>
        <v>6331.43</v>
      </c>
      <c r="G152" s="35">
        <f>6015.8629</f>
        <v>6015.8629000000001</v>
      </c>
      <c r="H152" s="36">
        <f t="shared" si="117"/>
        <v>315.56710000000021</v>
      </c>
      <c r="I152" s="35">
        <f>6331.43-F152</f>
        <v>0</v>
      </c>
      <c r="J152" s="35">
        <f>6015.8629-G152</f>
        <v>0</v>
      </c>
      <c r="K152" s="36">
        <f t="shared" si="118"/>
        <v>0</v>
      </c>
      <c r="L152" s="35">
        <f>L151</f>
        <v>61235.711199999998</v>
      </c>
      <c r="M152" s="35">
        <f>M151</f>
        <v>44130.611199999999</v>
      </c>
      <c r="N152" s="36">
        <f t="shared" si="119"/>
        <v>17105.099999999999</v>
      </c>
      <c r="O152" s="35">
        <f>O151</f>
        <v>61235.711199999998</v>
      </c>
      <c r="P152" s="35">
        <f>P151</f>
        <v>44130.611199999999</v>
      </c>
      <c r="Q152" s="36">
        <f t="shared" si="120"/>
        <v>17105.099999999999</v>
      </c>
      <c r="R152" s="37">
        <f t="shared" si="121"/>
        <v>0.75147614445127842</v>
      </c>
      <c r="S152" s="35">
        <v>0</v>
      </c>
      <c r="T152" s="35"/>
      <c r="U152" s="36">
        <f t="shared" si="122"/>
        <v>0</v>
      </c>
      <c r="V152" s="35">
        <v>0</v>
      </c>
      <c r="W152" s="35">
        <v>0</v>
      </c>
      <c r="X152" s="36">
        <f t="shared" si="123"/>
        <v>0</v>
      </c>
      <c r="Y152" s="35">
        <v>198968.85</v>
      </c>
      <c r="Z152" s="35">
        <f>40631.4112+3499.2+137543.8779</f>
        <v>181674.48910000001</v>
      </c>
      <c r="AA152" s="36">
        <f t="shared" si="124"/>
        <v>17294.3609</v>
      </c>
      <c r="AB152" s="37">
        <f t="shared" si="125"/>
        <v>0.75979091907565244</v>
      </c>
    </row>
    <row r="153" spans="1:28" x14ac:dyDescent="0.25">
      <c r="A153" s="15" t="s">
        <v>187</v>
      </c>
      <c r="B153" s="87" t="s">
        <v>188</v>
      </c>
      <c r="C153" s="143">
        <f>C154</f>
        <v>53950</v>
      </c>
      <c r="D153" s="139" t="s">
        <v>184</v>
      </c>
      <c r="E153" s="140" t="s">
        <v>184</v>
      </c>
      <c r="F153" s="144">
        <f>F154</f>
        <v>92460</v>
      </c>
      <c r="G153" s="139" t="s">
        <v>184</v>
      </c>
      <c r="H153" s="139" t="s">
        <v>184</v>
      </c>
      <c r="I153" s="143">
        <f>I154</f>
        <v>0</v>
      </c>
      <c r="J153" s="139" t="s">
        <v>184</v>
      </c>
      <c r="K153" s="139" t="s">
        <v>184</v>
      </c>
      <c r="L153" s="141" t="s">
        <v>184</v>
      </c>
      <c r="M153" s="141" t="s">
        <v>184</v>
      </c>
      <c r="N153" s="141" t="s">
        <v>184</v>
      </c>
      <c r="O153" s="141" t="s">
        <v>184</v>
      </c>
      <c r="P153" s="141" t="s">
        <v>184</v>
      </c>
      <c r="Q153" s="141" t="s">
        <v>184</v>
      </c>
      <c r="R153" s="138" t="s">
        <v>184</v>
      </c>
      <c r="S153" s="142">
        <f>S154</f>
        <v>53950</v>
      </c>
      <c r="T153" s="141" t="s">
        <v>184</v>
      </c>
      <c r="U153" s="141" t="s">
        <v>184</v>
      </c>
      <c r="V153" s="142">
        <f>V154</f>
        <v>53950</v>
      </c>
      <c r="W153" s="141" t="s">
        <v>184</v>
      </c>
      <c r="X153" s="141" t="s">
        <v>184</v>
      </c>
      <c r="Y153" s="26">
        <f>Y154+Y155</f>
        <v>167850</v>
      </c>
      <c r="Z153" s="141" t="s">
        <v>184</v>
      </c>
      <c r="AA153" s="141" t="s">
        <v>184</v>
      </c>
      <c r="AB153" s="19">
        <f>Y153/C153</f>
        <v>3.1112140871177014</v>
      </c>
    </row>
    <row r="154" spans="1:28" x14ac:dyDescent="0.25">
      <c r="A154" s="15"/>
      <c r="B154" s="87" t="s">
        <v>189</v>
      </c>
      <c r="C154" s="143">
        <v>53950</v>
      </c>
      <c r="D154" s="139" t="s">
        <v>184</v>
      </c>
      <c r="E154" s="140" t="s">
        <v>184</v>
      </c>
      <c r="F154" s="144">
        <v>92460</v>
      </c>
      <c r="G154" s="139" t="s">
        <v>184</v>
      </c>
      <c r="H154" s="139" t="s">
        <v>184</v>
      </c>
      <c r="I154" s="143">
        <f>92460-F154</f>
        <v>0</v>
      </c>
      <c r="J154" s="139" t="s">
        <v>184</v>
      </c>
      <c r="K154" s="139" t="s">
        <v>184</v>
      </c>
      <c r="L154" s="141" t="s">
        <v>184</v>
      </c>
      <c r="M154" s="141" t="s">
        <v>184</v>
      </c>
      <c r="N154" s="141" t="s">
        <v>184</v>
      </c>
      <c r="O154" s="141" t="s">
        <v>184</v>
      </c>
      <c r="P154" s="141" t="s">
        <v>184</v>
      </c>
      <c r="Q154" s="141" t="s">
        <v>184</v>
      </c>
      <c r="R154" s="138" t="s">
        <v>184</v>
      </c>
      <c r="S154" s="142">
        <v>53950</v>
      </c>
      <c r="T154" s="141" t="s">
        <v>184</v>
      </c>
      <c r="U154" s="141" t="s">
        <v>184</v>
      </c>
      <c r="V154" s="142">
        <f>S154</f>
        <v>53950</v>
      </c>
      <c r="W154" s="141" t="s">
        <v>184</v>
      </c>
      <c r="X154" s="141" t="s">
        <v>184</v>
      </c>
      <c r="Y154" s="26">
        <f>S154+Y110</f>
        <v>43160</v>
      </c>
      <c r="Z154" s="141" t="s">
        <v>184</v>
      </c>
      <c r="AA154" s="141" t="s">
        <v>184</v>
      </c>
      <c r="AB154" s="19">
        <f t="shared" ref="AB154:AB166" si="126">Y154/C154</f>
        <v>0.8</v>
      </c>
    </row>
    <row r="155" spans="1:28" x14ac:dyDescent="0.25">
      <c r="A155" s="15"/>
      <c r="B155" s="87" t="s">
        <v>190</v>
      </c>
      <c r="C155" s="143"/>
      <c r="D155" s="139" t="s">
        <v>184</v>
      </c>
      <c r="E155" s="140" t="s">
        <v>184</v>
      </c>
      <c r="F155" s="144"/>
      <c r="G155" s="139" t="s">
        <v>184</v>
      </c>
      <c r="H155" s="139" t="s">
        <v>184</v>
      </c>
      <c r="I155" s="143"/>
      <c r="J155" s="139" t="s">
        <v>184</v>
      </c>
      <c r="K155" s="139" t="s">
        <v>184</v>
      </c>
      <c r="L155" s="141" t="s">
        <v>184</v>
      </c>
      <c r="M155" s="141" t="s">
        <v>184</v>
      </c>
      <c r="N155" s="141" t="s">
        <v>184</v>
      </c>
      <c r="O155" s="141" t="s">
        <v>184</v>
      </c>
      <c r="P155" s="141" t="s">
        <v>184</v>
      </c>
      <c r="Q155" s="141" t="s">
        <v>184</v>
      </c>
      <c r="R155" s="138" t="s">
        <v>184</v>
      </c>
      <c r="S155" s="142"/>
      <c r="T155" s="141" t="s">
        <v>184</v>
      </c>
      <c r="U155" s="141" t="s">
        <v>184</v>
      </c>
      <c r="V155" s="142"/>
      <c r="W155" s="141" t="s">
        <v>184</v>
      </c>
      <c r="X155" s="141" t="s">
        <v>184</v>
      </c>
      <c r="Y155" s="26">
        <f>Y115</f>
        <v>124690</v>
      </c>
      <c r="Z155" s="141" t="s">
        <v>184</v>
      </c>
      <c r="AA155" s="141" t="s">
        <v>184</v>
      </c>
      <c r="AB155" s="19" t="e">
        <f t="shared" si="126"/>
        <v>#DIV/0!</v>
      </c>
    </row>
    <row r="156" spans="1:28" x14ac:dyDescent="0.25">
      <c r="A156" s="15"/>
      <c r="B156" s="87" t="s">
        <v>191</v>
      </c>
      <c r="C156" s="143"/>
      <c r="D156" s="139" t="s">
        <v>184</v>
      </c>
      <c r="E156" s="140" t="s">
        <v>184</v>
      </c>
      <c r="F156" s="144"/>
      <c r="G156" s="139" t="s">
        <v>184</v>
      </c>
      <c r="H156" s="139" t="s">
        <v>184</v>
      </c>
      <c r="I156" s="143"/>
      <c r="J156" s="139" t="s">
        <v>184</v>
      </c>
      <c r="K156" s="139" t="s">
        <v>184</v>
      </c>
      <c r="L156" s="141" t="s">
        <v>184</v>
      </c>
      <c r="M156" s="141" t="s">
        <v>184</v>
      </c>
      <c r="N156" s="141" t="s">
        <v>184</v>
      </c>
      <c r="O156" s="141" t="s">
        <v>184</v>
      </c>
      <c r="P156" s="141" t="s">
        <v>184</v>
      </c>
      <c r="Q156" s="141" t="s">
        <v>184</v>
      </c>
      <c r="R156" s="138" t="s">
        <v>184</v>
      </c>
      <c r="S156" s="142"/>
      <c r="T156" s="141" t="s">
        <v>184</v>
      </c>
      <c r="U156" s="141" t="s">
        <v>184</v>
      </c>
      <c r="V156" s="142"/>
      <c r="W156" s="141" t="s">
        <v>184</v>
      </c>
      <c r="X156" s="141" t="s">
        <v>184</v>
      </c>
      <c r="Y156" s="142"/>
      <c r="Z156" s="141" t="s">
        <v>184</v>
      </c>
      <c r="AA156" s="141" t="s">
        <v>184</v>
      </c>
      <c r="AB156" s="19" t="e">
        <f t="shared" si="126"/>
        <v>#DIV/0!</v>
      </c>
    </row>
    <row r="157" spans="1:28" ht="56.25" customHeight="1" x14ac:dyDescent="0.25">
      <c r="A157" s="15" t="s">
        <v>192</v>
      </c>
      <c r="B157" s="88" t="s">
        <v>212</v>
      </c>
      <c r="C157" s="143">
        <v>86.5</v>
      </c>
      <c r="D157" s="139" t="s">
        <v>184</v>
      </c>
      <c r="E157" s="140" t="s">
        <v>184</v>
      </c>
      <c r="F157" s="144"/>
      <c r="G157" s="139" t="s">
        <v>184</v>
      </c>
      <c r="H157" s="139" t="s">
        <v>184</v>
      </c>
      <c r="I157" s="143"/>
      <c r="J157" s="139" t="s">
        <v>184</v>
      </c>
      <c r="K157" s="139" t="s">
        <v>184</v>
      </c>
      <c r="L157" s="142">
        <v>100.95</v>
      </c>
      <c r="M157" s="141" t="s">
        <v>184</v>
      </c>
      <c r="N157" s="141" t="s">
        <v>184</v>
      </c>
      <c r="O157" s="142">
        <v>101.95</v>
      </c>
      <c r="P157" s="141" t="s">
        <v>184</v>
      </c>
      <c r="Q157" s="141" t="s">
        <v>184</v>
      </c>
      <c r="R157" s="138">
        <f>O157/C157</f>
        <v>1.1786127167630058</v>
      </c>
      <c r="S157" s="143">
        <v>85</v>
      </c>
      <c r="T157" s="141" t="s">
        <v>184</v>
      </c>
      <c r="U157" s="141" t="s">
        <v>184</v>
      </c>
      <c r="V157" s="143"/>
      <c r="W157" s="141" t="s">
        <v>184</v>
      </c>
      <c r="X157" s="141" t="s">
        <v>184</v>
      </c>
      <c r="Y157" s="143">
        <f>O157</f>
        <v>101.95</v>
      </c>
      <c r="Z157" s="141" t="s">
        <v>184</v>
      </c>
      <c r="AA157" s="141" t="s">
        <v>184</v>
      </c>
      <c r="AB157" s="19">
        <f>Y157/C157</f>
        <v>1.1786127167630058</v>
      </c>
    </row>
    <row r="158" spans="1:28" ht="63.75" x14ac:dyDescent="0.25">
      <c r="A158" s="15"/>
      <c r="B158" s="88" t="s">
        <v>213</v>
      </c>
      <c r="C158" s="143">
        <v>109.65</v>
      </c>
      <c r="D158" s="139" t="s">
        <v>184</v>
      </c>
      <c r="E158" s="140" t="s">
        <v>184</v>
      </c>
      <c r="F158" s="144"/>
      <c r="G158" s="139" t="s">
        <v>184</v>
      </c>
      <c r="H158" s="139" t="s">
        <v>184</v>
      </c>
      <c r="I158" s="143"/>
      <c r="J158" s="139" t="s">
        <v>184</v>
      </c>
      <c r="K158" s="139" t="s">
        <v>184</v>
      </c>
      <c r="L158" s="142">
        <v>122.85</v>
      </c>
      <c r="M158" s="141" t="s">
        <v>184</v>
      </c>
      <c r="N158" s="141" t="s">
        <v>184</v>
      </c>
      <c r="O158" s="142">
        <v>122.85</v>
      </c>
      <c r="P158" s="141" t="s">
        <v>184</v>
      </c>
      <c r="Q158" s="141" t="s">
        <v>184</v>
      </c>
      <c r="R158" s="138">
        <f t="shared" ref="R158:R166" si="127">O158/C158</f>
        <v>1.1203830369357044</v>
      </c>
      <c r="S158" s="143">
        <v>110.65</v>
      </c>
      <c r="T158" s="141" t="s">
        <v>184</v>
      </c>
      <c r="U158" s="141" t="s">
        <v>184</v>
      </c>
      <c r="V158" s="143"/>
      <c r="W158" s="141" t="s">
        <v>184</v>
      </c>
      <c r="X158" s="141" t="s">
        <v>184</v>
      </c>
      <c r="Y158" s="143">
        <f>O158</f>
        <v>122.85</v>
      </c>
      <c r="Z158" s="141" t="s">
        <v>184</v>
      </c>
      <c r="AA158" s="141" t="s">
        <v>184</v>
      </c>
      <c r="AB158" s="19">
        <f t="shared" si="126"/>
        <v>1.1203830369357044</v>
      </c>
    </row>
    <row r="159" spans="1:28" ht="54" customHeight="1" x14ac:dyDescent="0.25">
      <c r="A159" s="15"/>
      <c r="B159" s="88" t="s">
        <v>214</v>
      </c>
      <c r="C159" s="143">
        <v>2149.92</v>
      </c>
      <c r="D159" s="139" t="s">
        <v>184</v>
      </c>
      <c r="E159" s="140" t="s">
        <v>184</v>
      </c>
      <c r="F159" s="144"/>
      <c r="G159" s="139" t="s">
        <v>184</v>
      </c>
      <c r="H159" s="139" t="s">
        <v>184</v>
      </c>
      <c r="I159" s="143"/>
      <c r="J159" s="139" t="s">
        <v>184</v>
      </c>
      <c r="K159" s="139" t="s">
        <v>184</v>
      </c>
      <c r="L159" s="145">
        <f>2233.56+1.25</f>
        <v>2234.81</v>
      </c>
      <c r="M159" s="141" t="s">
        <v>184</v>
      </c>
      <c r="N159" s="141" t="s">
        <v>184</v>
      </c>
      <c r="O159" s="145">
        <f>2233.56+1.25-1</f>
        <v>2233.81</v>
      </c>
      <c r="P159" s="141" t="s">
        <v>184</v>
      </c>
      <c r="Q159" s="141" t="s">
        <v>184</v>
      </c>
      <c r="R159" s="138">
        <f t="shared" si="127"/>
        <v>1.0390200565602441</v>
      </c>
      <c r="S159" s="143">
        <v>2140.7600000000002</v>
      </c>
      <c r="T159" s="141" t="s">
        <v>184</v>
      </c>
      <c r="U159" s="141" t="s">
        <v>184</v>
      </c>
      <c r="V159" s="143"/>
      <c r="W159" s="141" t="s">
        <v>184</v>
      </c>
      <c r="X159" s="141" t="s">
        <v>184</v>
      </c>
      <c r="Y159" s="143">
        <f>O159</f>
        <v>2233.81</v>
      </c>
      <c r="Z159" s="141" t="s">
        <v>184</v>
      </c>
      <c r="AA159" s="141" t="s">
        <v>184</v>
      </c>
      <c r="AB159" s="19">
        <f t="shared" si="126"/>
        <v>1.0390200565602441</v>
      </c>
    </row>
    <row r="160" spans="1:28" ht="60.75" customHeight="1" x14ac:dyDescent="0.25">
      <c r="A160" s="15"/>
      <c r="B160" s="88" t="s">
        <v>215</v>
      </c>
      <c r="C160" s="143">
        <v>7</v>
      </c>
      <c r="D160" s="139" t="s">
        <v>184</v>
      </c>
      <c r="E160" s="140" t="s">
        <v>184</v>
      </c>
      <c r="F160" s="144"/>
      <c r="G160" s="139" t="s">
        <v>184</v>
      </c>
      <c r="H160" s="139" t="s">
        <v>184</v>
      </c>
      <c r="I160" s="143"/>
      <c r="J160" s="139" t="s">
        <v>184</v>
      </c>
      <c r="K160" s="139" t="s">
        <v>184</v>
      </c>
      <c r="L160" s="145">
        <v>10</v>
      </c>
      <c r="M160" s="141" t="s">
        <v>184</v>
      </c>
      <c r="N160" s="141" t="s">
        <v>184</v>
      </c>
      <c r="O160" s="145">
        <v>10</v>
      </c>
      <c r="P160" s="141" t="s">
        <v>184</v>
      </c>
      <c r="Q160" s="141" t="s">
        <v>184</v>
      </c>
      <c r="R160" s="138">
        <f t="shared" si="127"/>
        <v>1.4285714285714286</v>
      </c>
      <c r="S160" s="143">
        <v>6</v>
      </c>
      <c r="T160" s="141" t="s">
        <v>184</v>
      </c>
      <c r="U160" s="141" t="s">
        <v>184</v>
      </c>
      <c r="V160" s="143"/>
      <c r="W160" s="141" t="s">
        <v>184</v>
      </c>
      <c r="X160" s="141" t="s">
        <v>184</v>
      </c>
      <c r="Y160" s="143">
        <f>O160</f>
        <v>10</v>
      </c>
      <c r="Z160" s="141" t="s">
        <v>184</v>
      </c>
      <c r="AA160" s="141" t="s">
        <v>184</v>
      </c>
      <c r="AB160" s="19">
        <f t="shared" si="126"/>
        <v>1.4285714285714286</v>
      </c>
    </row>
    <row r="161" spans="1:28" s="114" customFormat="1" ht="21" customHeight="1" x14ac:dyDescent="0.25">
      <c r="A161" s="15"/>
      <c r="B161" s="89" t="s">
        <v>211</v>
      </c>
      <c r="C161" s="139">
        <f>C157+C158+C159+C160</f>
        <v>2353.0700000000002</v>
      </c>
      <c r="D161" s="139" t="s">
        <v>184</v>
      </c>
      <c r="E161" s="139" t="s">
        <v>184</v>
      </c>
      <c r="F161" s="139">
        <f>F157+F158+F159+F160</f>
        <v>0</v>
      </c>
      <c r="G161" s="139" t="s">
        <v>184</v>
      </c>
      <c r="H161" s="139" t="s">
        <v>184</v>
      </c>
      <c r="I161" s="139">
        <f>I157+I158+I159+I160</f>
        <v>0</v>
      </c>
      <c r="J161" s="139" t="s">
        <v>184</v>
      </c>
      <c r="K161" s="139" t="s">
        <v>184</v>
      </c>
      <c r="L161" s="139">
        <f>L157+L158+L159+L160</f>
        <v>2468.61</v>
      </c>
      <c r="M161" s="139" t="s">
        <v>184</v>
      </c>
      <c r="N161" s="139" t="s">
        <v>184</v>
      </c>
      <c r="O161" s="147">
        <f>O157+O158+O159+O160</f>
        <v>2468.61</v>
      </c>
      <c r="P161" s="141" t="s">
        <v>184</v>
      </c>
      <c r="Q161" s="141" t="s">
        <v>184</v>
      </c>
      <c r="R161" s="138">
        <f t="shared" si="127"/>
        <v>1.0491018116758106</v>
      </c>
      <c r="S161" s="139">
        <f>S157+S158+S159+S160</f>
        <v>2342.4100000000003</v>
      </c>
      <c r="T161" s="141" t="s">
        <v>184</v>
      </c>
      <c r="U161" s="141" t="s">
        <v>184</v>
      </c>
      <c r="V161" s="139">
        <f>V157+V158+V159+V160</f>
        <v>0</v>
      </c>
      <c r="W161" s="141" t="s">
        <v>184</v>
      </c>
      <c r="X161" s="141" t="s">
        <v>184</v>
      </c>
      <c r="Y161" s="146">
        <f>Y157+Y158+Y159+Y160</f>
        <v>2468.61</v>
      </c>
      <c r="Z161" s="141" t="s">
        <v>184</v>
      </c>
      <c r="AA161" s="141" t="s">
        <v>184</v>
      </c>
      <c r="AB161" s="50">
        <f t="shared" si="126"/>
        <v>1.0491018116758106</v>
      </c>
    </row>
    <row r="162" spans="1:28" ht="23.25" customHeight="1" x14ac:dyDescent="0.25">
      <c r="A162" s="15" t="s">
        <v>193</v>
      </c>
      <c r="B162" s="89" t="s">
        <v>194</v>
      </c>
      <c r="C162" s="143">
        <f>C163+C165+C166+C164</f>
        <v>57</v>
      </c>
      <c r="D162" s="139" t="s">
        <v>184</v>
      </c>
      <c r="E162" s="140" t="s">
        <v>184</v>
      </c>
      <c r="F162" s="139" t="s">
        <v>184</v>
      </c>
      <c r="G162" s="139" t="s">
        <v>184</v>
      </c>
      <c r="H162" s="139" t="s">
        <v>184</v>
      </c>
      <c r="I162" s="139" t="s">
        <v>184</v>
      </c>
      <c r="J162" s="139" t="s">
        <v>184</v>
      </c>
      <c r="K162" s="139" t="s">
        <v>184</v>
      </c>
      <c r="L162" s="142">
        <f>L163+L165+L166+L164</f>
        <v>57</v>
      </c>
      <c r="M162" s="141" t="s">
        <v>184</v>
      </c>
      <c r="N162" s="141" t="s">
        <v>184</v>
      </c>
      <c r="O162" s="142">
        <f>O163+O165+O166+O164</f>
        <v>57</v>
      </c>
      <c r="P162" s="141" t="s">
        <v>184</v>
      </c>
      <c r="Q162" s="141" t="s">
        <v>184</v>
      </c>
      <c r="R162" s="138">
        <f t="shared" si="127"/>
        <v>1</v>
      </c>
      <c r="S162" s="142">
        <f>S163+S165+S166+S164</f>
        <v>57</v>
      </c>
      <c r="T162" s="141" t="s">
        <v>184</v>
      </c>
      <c r="U162" s="141" t="s">
        <v>184</v>
      </c>
      <c r="V162" s="141" t="s">
        <v>184</v>
      </c>
      <c r="W162" s="141" t="s">
        <v>184</v>
      </c>
      <c r="X162" s="141" t="s">
        <v>184</v>
      </c>
      <c r="Y162" s="142">
        <f>Y163+Y165+Y166+Y164</f>
        <v>57</v>
      </c>
      <c r="Z162" s="141" t="s">
        <v>184</v>
      </c>
      <c r="AA162" s="141" t="s">
        <v>184</v>
      </c>
      <c r="AB162" s="19">
        <f t="shared" si="126"/>
        <v>1</v>
      </c>
    </row>
    <row r="163" spans="1:28" x14ac:dyDescent="0.25">
      <c r="A163" s="15"/>
      <c r="B163" s="89" t="s">
        <v>195</v>
      </c>
      <c r="C163" s="143">
        <v>7</v>
      </c>
      <c r="D163" s="139" t="s">
        <v>184</v>
      </c>
      <c r="E163" s="140" t="s">
        <v>184</v>
      </c>
      <c r="F163" s="139" t="s">
        <v>184</v>
      </c>
      <c r="G163" s="139" t="s">
        <v>184</v>
      </c>
      <c r="H163" s="139" t="s">
        <v>184</v>
      </c>
      <c r="I163" s="139" t="s">
        <v>184</v>
      </c>
      <c r="J163" s="139" t="s">
        <v>184</v>
      </c>
      <c r="K163" s="139" t="s">
        <v>184</v>
      </c>
      <c r="L163" s="145">
        <v>7</v>
      </c>
      <c r="M163" s="141" t="s">
        <v>184</v>
      </c>
      <c r="N163" s="141" t="s">
        <v>184</v>
      </c>
      <c r="O163" s="146">
        <f>L163</f>
        <v>7</v>
      </c>
      <c r="P163" s="141" t="s">
        <v>184</v>
      </c>
      <c r="Q163" s="141" t="s">
        <v>184</v>
      </c>
      <c r="R163" s="138">
        <f t="shared" si="127"/>
        <v>1</v>
      </c>
      <c r="S163" s="142">
        <f>O163</f>
        <v>7</v>
      </c>
      <c r="T163" s="141" t="s">
        <v>184</v>
      </c>
      <c r="U163" s="141" t="s">
        <v>184</v>
      </c>
      <c r="V163" s="141" t="s">
        <v>184</v>
      </c>
      <c r="W163" s="141" t="s">
        <v>184</v>
      </c>
      <c r="X163" s="141" t="s">
        <v>184</v>
      </c>
      <c r="Y163" s="146">
        <f>O163</f>
        <v>7</v>
      </c>
      <c r="Z163" s="141" t="s">
        <v>184</v>
      </c>
      <c r="AA163" s="141" t="s">
        <v>184</v>
      </c>
      <c r="AB163" s="19">
        <f t="shared" si="126"/>
        <v>1</v>
      </c>
    </row>
    <row r="164" spans="1:28" x14ac:dyDescent="0.25">
      <c r="A164" s="15"/>
      <c r="B164" s="89" t="s">
        <v>196</v>
      </c>
      <c r="C164" s="143">
        <v>4</v>
      </c>
      <c r="D164" s="139" t="s">
        <v>184</v>
      </c>
      <c r="E164" s="140" t="s">
        <v>184</v>
      </c>
      <c r="F164" s="139" t="s">
        <v>184</v>
      </c>
      <c r="G164" s="139" t="s">
        <v>184</v>
      </c>
      <c r="H164" s="139" t="s">
        <v>184</v>
      </c>
      <c r="I164" s="139" t="s">
        <v>184</v>
      </c>
      <c r="J164" s="139" t="s">
        <v>184</v>
      </c>
      <c r="K164" s="139" t="s">
        <v>184</v>
      </c>
      <c r="L164" s="145">
        <v>4</v>
      </c>
      <c r="M164" s="141" t="s">
        <v>184</v>
      </c>
      <c r="N164" s="141" t="s">
        <v>184</v>
      </c>
      <c r="O164" s="146">
        <f>L164</f>
        <v>4</v>
      </c>
      <c r="P164" s="141" t="s">
        <v>184</v>
      </c>
      <c r="Q164" s="141" t="s">
        <v>184</v>
      </c>
      <c r="R164" s="138">
        <f t="shared" si="127"/>
        <v>1</v>
      </c>
      <c r="S164" s="142">
        <f>O164</f>
        <v>4</v>
      </c>
      <c r="T164" s="141" t="s">
        <v>184</v>
      </c>
      <c r="U164" s="141" t="s">
        <v>184</v>
      </c>
      <c r="V164" s="141" t="s">
        <v>184</v>
      </c>
      <c r="W164" s="141" t="s">
        <v>184</v>
      </c>
      <c r="X164" s="141" t="s">
        <v>184</v>
      </c>
      <c r="Y164" s="146">
        <f t="shared" ref="Y164:Y166" si="128">O164</f>
        <v>4</v>
      </c>
      <c r="Z164" s="141" t="s">
        <v>184</v>
      </c>
      <c r="AA164" s="141" t="s">
        <v>184</v>
      </c>
      <c r="AB164" s="19">
        <f t="shared" si="126"/>
        <v>1</v>
      </c>
    </row>
    <row r="165" spans="1:28" x14ac:dyDescent="0.25">
      <c r="A165" s="15"/>
      <c r="B165" s="89" t="s">
        <v>197</v>
      </c>
      <c r="C165" s="143">
        <v>45</v>
      </c>
      <c r="D165" s="139" t="s">
        <v>184</v>
      </c>
      <c r="E165" s="140" t="s">
        <v>184</v>
      </c>
      <c r="F165" s="139" t="s">
        <v>184</v>
      </c>
      <c r="G165" s="139" t="s">
        <v>184</v>
      </c>
      <c r="H165" s="139" t="s">
        <v>184</v>
      </c>
      <c r="I165" s="139" t="s">
        <v>184</v>
      </c>
      <c r="J165" s="139" t="s">
        <v>184</v>
      </c>
      <c r="K165" s="139" t="s">
        <v>184</v>
      </c>
      <c r="L165" s="145">
        <v>45</v>
      </c>
      <c r="M165" s="141" t="s">
        <v>184</v>
      </c>
      <c r="N165" s="141" t="s">
        <v>184</v>
      </c>
      <c r="O165" s="146">
        <f>L165</f>
        <v>45</v>
      </c>
      <c r="P165" s="141" t="s">
        <v>184</v>
      </c>
      <c r="Q165" s="141" t="s">
        <v>184</v>
      </c>
      <c r="R165" s="138">
        <f t="shared" si="127"/>
        <v>1</v>
      </c>
      <c r="S165" s="142">
        <f>O165</f>
        <v>45</v>
      </c>
      <c r="T165" s="141" t="s">
        <v>184</v>
      </c>
      <c r="U165" s="141" t="s">
        <v>184</v>
      </c>
      <c r="V165" s="141" t="s">
        <v>184</v>
      </c>
      <c r="W165" s="141" t="s">
        <v>184</v>
      </c>
      <c r="X165" s="141" t="s">
        <v>184</v>
      </c>
      <c r="Y165" s="146">
        <f t="shared" si="128"/>
        <v>45</v>
      </c>
      <c r="Z165" s="141" t="s">
        <v>184</v>
      </c>
      <c r="AA165" s="141" t="s">
        <v>184</v>
      </c>
      <c r="AB165" s="19">
        <f t="shared" si="126"/>
        <v>1</v>
      </c>
    </row>
    <row r="166" spans="1:28" x14ac:dyDescent="0.25">
      <c r="A166" s="15"/>
      <c r="B166" s="75" t="s">
        <v>198</v>
      </c>
      <c r="C166" s="143">
        <v>1</v>
      </c>
      <c r="D166" s="139" t="s">
        <v>184</v>
      </c>
      <c r="E166" s="140" t="s">
        <v>184</v>
      </c>
      <c r="F166" s="139" t="s">
        <v>184</v>
      </c>
      <c r="G166" s="139" t="s">
        <v>184</v>
      </c>
      <c r="H166" s="139" t="s">
        <v>184</v>
      </c>
      <c r="I166" s="139" t="s">
        <v>184</v>
      </c>
      <c r="J166" s="139" t="s">
        <v>184</v>
      </c>
      <c r="K166" s="139" t="s">
        <v>184</v>
      </c>
      <c r="L166" s="145">
        <v>1</v>
      </c>
      <c r="M166" s="141" t="s">
        <v>184</v>
      </c>
      <c r="N166" s="141" t="s">
        <v>184</v>
      </c>
      <c r="O166" s="146">
        <f>L166</f>
        <v>1</v>
      </c>
      <c r="P166" s="141" t="s">
        <v>184</v>
      </c>
      <c r="Q166" s="141" t="s">
        <v>184</v>
      </c>
      <c r="R166" s="138">
        <f t="shared" si="127"/>
        <v>1</v>
      </c>
      <c r="S166" s="146">
        <f>O166</f>
        <v>1</v>
      </c>
      <c r="T166" s="141" t="s">
        <v>184</v>
      </c>
      <c r="U166" s="141" t="s">
        <v>184</v>
      </c>
      <c r="V166" s="141" t="s">
        <v>184</v>
      </c>
      <c r="W166" s="141" t="s">
        <v>184</v>
      </c>
      <c r="X166" s="141" t="s">
        <v>184</v>
      </c>
      <c r="Y166" s="146">
        <f t="shared" si="128"/>
        <v>1</v>
      </c>
      <c r="Z166" s="141" t="s">
        <v>184</v>
      </c>
      <c r="AA166" s="141" t="s">
        <v>184</v>
      </c>
      <c r="AB166" s="19">
        <f t="shared" si="126"/>
        <v>1</v>
      </c>
    </row>
    <row r="167" spans="1:28" ht="25.5" x14ac:dyDescent="0.25">
      <c r="A167" s="15" t="s">
        <v>199</v>
      </c>
      <c r="B167" s="32" t="s">
        <v>200</v>
      </c>
      <c r="C167" s="27">
        <f>C55+C56+C69+C89+C90</f>
        <v>1851870.3434799998</v>
      </c>
      <c r="D167" s="27">
        <f t="shared" ref="D167:Z167" si="129">D55+D56+D69+D89+D90</f>
        <v>1194005.5969</v>
      </c>
      <c r="E167" s="39">
        <f t="shared" si="129"/>
        <v>657864.7465799998</v>
      </c>
      <c r="F167" s="27">
        <f t="shared" si="129"/>
        <v>313025.21818999999</v>
      </c>
      <c r="G167" s="27">
        <f t="shared" si="129"/>
        <v>192329.66394</v>
      </c>
      <c r="H167" s="39">
        <f t="shared" si="129"/>
        <v>120695.55425</v>
      </c>
      <c r="I167" s="27">
        <f>I55+I56+I69+I89+I90</f>
        <v>155409.43957999998</v>
      </c>
      <c r="J167" s="27">
        <f t="shared" si="129"/>
        <v>101902.72549</v>
      </c>
      <c r="K167" s="39">
        <f t="shared" si="129"/>
        <v>53506.714089999994</v>
      </c>
      <c r="L167" s="27">
        <f t="shared" si="129"/>
        <v>1965551.0116000001</v>
      </c>
      <c r="M167" s="27">
        <f t="shared" si="129"/>
        <v>1284646.9415</v>
      </c>
      <c r="N167" s="39">
        <f t="shared" si="129"/>
        <v>680904.0700999999</v>
      </c>
      <c r="O167" s="27">
        <f t="shared" si="129"/>
        <v>2051690.3134400002</v>
      </c>
      <c r="P167" s="27">
        <f t="shared" si="129"/>
        <v>1365826.9305</v>
      </c>
      <c r="Q167" s="39">
        <f t="shared" si="129"/>
        <v>685863.38293999992</v>
      </c>
      <c r="R167" s="50">
        <f t="shared" ref="R167:R169" si="130">Q167/E167</f>
        <v>1.0425598673671981</v>
      </c>
      <c r="S167" s="27">
        <f t="shared" si="129"/>
        <v>372302.49067999999</v>
      </c>
      <c r="T167" s="27">
        <f t="shared" si="129"/>
        <v>230260.51913</v>
      </c>
      <c r="U167" s="39">
        <f t="shared" si="129"/>
        <v>142041.97155000002</v>
      </c>
      <c r="V167" s="27">
        <f t="shared" si="129"/>
        <v>166025.4</v>
      </c>
      <c r="W167" s="27">
        <f t="shared" si="129"/>
        <v>95506.2</v>
      </c>
      <c r="X167" s="39">
        <f t="shared" si="129"/>
        <v>70519.199999999997</v>
      </c>
      <c r="Y167" s="27">
        <f t="shared" si="129"/>
        <v>2076379.9134400003</v>
      </c>
      <c r="Z167" s="27">
        <f t="shared" si="129"/>
        <v>1365826.9305</v>
      </c>
      <c r="AA167" s="39">
        <f>AA55+AA56+AA69+AA89+AA90</f>
        <v>710552.9829399999</v>
      </c>
      <c r="AB167" s="50">
        <f t="shared" ref="AB167:AB169" si="131">AA167/E167</f>
        <v>1.0800897701752634</v>
      </c>
    </row>
    <row r="168" spans="1:28" ht="25.5" x14ac:dyDescent="0.25">
      <c r="A168" s="15" t="s">
        <v>201</v>
      </c>
      <c r="B168" s="32" t="s">
        <v>202</v>
      </c>
      <c r="C168" s="27">
        <f>C59+C76+C93</f>
        <v>179731.18018000002</v>
      </c>
      <c r="D168" s="27">
        <f t="shared" ref="D168:AA168" si="132">D59+D76+D93</f>
        <v>567</v>
      </c>
      <c r="E168" s="39">
        <f t="shared" si="132"/>
        <v>179164.18018000002</v>
      </c>
      <c r="F168" s="27">
        <f t="shared" si="132"/>
        <v>59942.8</v>
      </c>
      <c r="G168" s="27">
        <f t="shared" si="132"/>
        <v>82</v>
      </c>
      <c r="H168" s="39">
        <f t="shared" si="132"/>
        <v>59860.800000000003</v>
      </c>
      <c r="I168" s="27">
        <f t="shared" si="132"/>
        <v>17640.599999999999</v>
      </c>
      <c r="J168" s="27">
        <f t="shared" si="132"/>
        <v>154</v>
      </c>
      <c r="K168" s="39">
        <f t="shared" si="132"/>
        <v>17486.599999999999</v>
      </c>
      <c r="L168" s="27">
        <f t="shared" si="132"/>
        <v>200509.64199999999</v>
      </c>
      <c r="M168" s="27">
        <f t="shared" si="132"/>
        <v>566.58000000000004</v>
      </c>
      <c r="N168" s="39">
        <f t="shared" si="132"/>
        <v>199943.06200000001</v>
      </c>
      <c r="O168" s="27">
        <f t="shared" si="132"/>
        <v>208849.17600000001</v>
      </c>
      <c r="P168" s="27">
        <f t="shared" si="132"/>
        <v>637</v>
      </c>
      <c r="Q168" s="39">
        <f t="shared" si="132"/>
        <v>208212.17600000001</v>
      </c>
      <c r="R168" s="50">
        <f t="shared" si="130"/>
        <v>1.1621305988217983</v>
      </c>
      <c r="S168" s="27">
        <f t="shared" si="132"/>
        <v>54409.249000000003</v>
      </c>
      <c r="T168" s="27">
        <f t="shared" si="132"/>
        <v>282</v>
      </c>
      <c r="U168" s="39">
        <f t="shared" si="132"/>
        <v>54127.249000000003</v>
      </c>
      <c r="V168" s="27">
        <f t="shared" si="132"/>
        <v>16191.742100000001</v>
      </c>
      <c r="W168" s="27">
        <f t="shared" si="132"/>
        <v>91.2</v>
      </c>
      <c r="X168" s="39">
        <f t="shared" si="132"/>
        <v>16100.542100000001</v>
      </c>
      <c r="Y168" s="27">
        <f t="shared" si="132"/>
        <v>209238.16278000001</v>
      </c>
      <c r="Z168" s="27">
        <f t="shared" si="132"/>
        <v>630.45108000000005</v>
      </c>
      <c r="AA168" s="39">
        <f t="shared" si="132"/>
        <v>208607.71170000001</v>
      </c>
      <c r="AB168" s="50">
        <f t="shared" si="131"/>
        <v>1.1643382705762899</v>
      </c>
    </row>
    <row r="169" spans="1:28" ht="25.5" x14ac:dyDescent="0.25">
      <c r="A169" s="15" t="s">
        <v>203</v>
      </c>
      <c r="B169" s="32" t="s">
        <v>223</v>
      </c>
      <c r="C169" s="27">
        <f>C63+C97</f>
        <v>166048.42207999999</v>
      </c>
      <c r="D169" s="27">
        <f t="shared" ref="D169:AA169" si="133">D63+D97</f>
        <v>157746.00096999999</v>
      </c>
      <c r="E169" s="27">
        <f t="shared" si="133"/>
        <v>8302.4211099999957</v>
      </c>
      <c r="F169" s="27">
        <f t="shared" si="133"/>
        <v>28122.088830000001</v>
      </c>
      <c r="G169" s="27">
        <f t="shared" si="133"/>
        <v>26715.984390000001</v>
      </c>
      <c r="H169" s="27">
        <f>H63+H97</f>
        <v>1406.1044399999992</v>
      </c>
      <c r="I169" s="27">
        <f t="shared" si="133"/>
        <v>0</v>
      </c>
      <c r="J169" s="27">
        <f t="shared" si="133"/>
        <v>0</v>
      </c>
      <c r="K169" s="27">
        <f t="shared" si="133"/>
        <v>0</v>
      </c>
      <c r="L169" s="27">
        <f t="shared" si="133"/>
        <v>53412.298300000002</v>
      </c>
      <c r="M169" s="27">
        <f t="shared" si="133"/>
        <v>50741.683369999999</v>
      </c>
      <c r="N169" s="27">
        <f t="shared" si="133"/>
        <v>2670.6149300000034</v>
      </c>
      <c r="O169" s="27">
        <f t="shared" si="133"/>
        <v>134878.23908999999</v>
      </c>
      <c r="P169" s="27">
        <f t="shared" si="133"/>
        <v>132207.62416000001</v>
      </c>
      <c r="Q169" s="27">
        <f t="shared" si="133"/>
        <v>2670.6149299999815</v>
      </c>
      <c r="R169" s="50">
        <f t="shared" si="130"/>
        <v>0.32166700467449344</v>
      </c>
      <c r="S169" s="27">
        <f t="shared" si="133"/>
        <v>26146.611639999999</v>
      </c>
      <c r="T169" s="27">
        <f t="shared" si="133"/>
        <v>24839.281070000001</v>
      </c>
      <c r="U169" s="27">
        <f t="shared" si="133"/>
        <v>1307.3305699999983</v>
      </c>
      <c r="V169" s="27">
        <f t="shared" si="133"/>
        <v>0</v>
      </c>
      <c r="W169" s="27">
        <f t="shared" si="133"/>
        <v>0</v>
      </c>
      <c r="X169" s="27">
        <f t="shared" si="133"/>
        <v>0</v>
      </c>
      <c r="Y169" s="27">
        <f t="shared" si="133"/>
        <v>300158.58068000001</v>
      </c>
      <c r="Z169" s="27">
        <f t="shared" si="133"/>
        <v>294175.42416</v>
      </c>
      <c r="AA169" s="27">
        <f t="shared" si="133"/>
        <v>5983.1565200000186</v>
      </c>
      <c r="AB169" s="50">
        <f t="shared" si="131"/>
        <v>0.72065201713190641</v>
      </c>
    </row>
    <row r="170" spans="1:28" s="105" customFormat="1" ht="153.75" customHeight="1" x14ac:dyDescent="0.25">
      <c r="A170" s="90" t="s">
        <v>203</v>
      </c>
      <c r="B170" s="112" t="s">
        <v>206</v>
      </c>
      <c r="C170" s="148">
        <f>D170+E170</f>
        <v>217350</v>
      </c>
      <c r="D170" s="148">
        <v>95729</v>
      </c>
      <c r="E170" s="148">
        <v>121621</v>
      </c>
      <c r="F170" s="159">
        <f>G170+H170</f>
        <v>42226.31</v>
      </c>
      <c r="G170" s="157">
        <f>36.31+18587</f>
        <v>18623.310000000001</v>
      </c>
      <c r="H170" s="157">
        <f>273+23330</f>
        <v>23603</v>
      </c>
      <c r="I170" s="149" t="s">
        <v>184</v>
      </c>
      <c r="J170" s="149" t="s">
        <v>184</v>
      </c>
      <c r="K170" s="149" t="s">
        <v>184</v>
      </c>
      <c r="L170" s="148">
        <f>M170+N170</f>
        <v>256224</v>
      </c>
      <c r="M170" s="148">
        <v>105491</v>
      </c>
      <c r="N170" s="148">
        <v>150733</v>
      </c>
      <c r="O170" s="148">
        <f>P170+Q170</f>
        <v>256223.7</v>
      </c>
      <c r="P170" s="148">
        <f>105241+249.7</f>
        <v>105490.7</v>
      </c>
      <c r="Q170" s="148">
        <f>147279+3454</f>
        <v>150733</v>
      </c>
      <c r="R170" s="91"/>
      <c r="S170" s="148">
        <f>T170+U170</f>
        <v>47390</v>
      </c>
      <c r="T170" s="157">
        <f>21274+38</f>
        <v>21312</v>
      </c>
      <c r="U170" s="157">
        <f>25817+261</f>
        <v>26078</v>
      </c>
      <c r="V170" s="149" t="s">
        <v>184</v>
      </c>
      <c r="W170" s="149" t="s">
        <v>184</v>
      </c>
      <c r="X170" s="149" t="s">
        <v>184</v>
      </c>
      <c r="Y170" s="148">
        <f t="shared" ref="Y170:AA171" si="134">O170</f>
        <v>256223.7</v>
      </c>
      <c r="Z170" s="148">
        <f t="shared" si="134"/>
        <v>105490.7</v>
      </c>
      <c r="AA170" s="148">
        <f t="shared" si="134"/>
        <v>150733</v>
      </c>
      <c r="AB170" s="91"/>
    </row>
    <row r="171" spans="1:28" s="105" customFormat="1" ht="184.5" customHeight="1" x14ac:dyDescent="0.25">
      <c r="A171" s="90" t="s">
        <v>204</v>
      </c>
      <c r="B171" s="113" t="s">
        <v>207</v>
      </c>
      <c r="C171" s="150">
        <f>D171+E171</f>
        <v>721</v>
      </c>
      <c r="D171" s="150">
        <v>304</v>
      </c>
      <c r="E171" s="148">
        <v>417</v>
      </c>
      <c r="F171" s="151">
        <f>G171+H171</f>
        <v>813</v>
      </c>
      <c r="G171" s="158">
        <f>2+324</f>
        <v>326</v>
      </c>
      <c r="H171" s="157">
        <f>52+435</f>
        <v>487</v>
      </c>
      <c r="I171" s="152" t="s">
        <v>184</v>
      </c>
      <c r="J171" s="152" t="s">
        <v>184</v>
      </c>
      <c r="K171" s="152" t="s">
        <v>184</v>
      </c>
      <c r="L171" s="148">
        <f>M171+N171</f>
        <v>740</v>
      </c>
      <c r="M171" s="150">
        <v>308</v>
      </c>
      <c r="N171" s="148">
        <v>432</v>
      </c>
      <c r="O171" s="150">
        <f>P171+Q171</f>
        <v>740</v>
      </c>
      <c r="P171" s="150">
        <f>305+3</f>
        <v>308</v>
      </c>
      <c r="Q171" s="148">
        <f>395+37</f>
        <v>432</v>
      </c>
      <c r="R171" s="92"/>
      <c r="S171" s="150">
        <f>T171+U171</f>
        <v>736</v>
      </c>
      <c r="T171" s="158">
        <f>314+3</f>
        <v>317</v>
      </c>
      <c r="U171" s="157">
        <f>382+37</f>
        <v>419</v>
      </c>
      <c r="V171" s="152" t="s">
        <v>184</v>
      </c>
      <c r="W171" s="152" t="s">
        <v>184</v>
      </c>
      <c r="X171" s="152" t="s">
        <v>184</v>
      </c>
      <c r="Y171" s="150">
        <f t="shared" si="134"/>
        <v>740</v>
      </c>
      <c r="Z171" s="150">
        <f t="shared" si="134"/>
        <v>308</v>
      </c>
      <c r="AA171" s="148">
        <f t="shared" si="134"/>
        <v>432</v>
      </c>
      <c r="AB171" s="92"/>
    </row>
    <row r="172" spans="1:28" s="105" customFormat="1" x14ac:dyDescent="0.25">
      <c r="B172" s="106"/>
      <c r="C172" s="107"/>
      <c r="D172" s="107"/>
      <c r="E172" s="108"/>
      <c r="F172" s="107"/>
      <c r="G172" s="107"/>
      <c r="H172" s="108"/>
      <c r="I172" s="107"/>
      <c r="J172" s="107"/>
      <c r="K172" s="108"/>
      <c r="L172" s="107"/>
      <c r="M172" s="107"/>
      <c r="N172" s="108"/>
      <c r="O172" s="107"/>
      <c r="P172" s="107"/>
      <c r="Q172" s="108"/>
      <c r="R172" s="109"/>
      <c r="S172" s="107"/>
      <c r="T172" s="107"/>
      <c r="U172" s="108"/>
      <c r="V172" s="107"/>
      <c r="W172" s="107"/>
      <c r="X172" s="108"/>
      <c r="Y172" s="107"/>
      <c r="Z172" s="107"/>
      <c r="AA172" s="108"/>
      <c r="AB172" s="109"/>
    </row>
    <row r="173" spans="1:28" s="105" customFormat="1" ht="15.75" x14ac:dyDescent="0.25">
      <c r="B173" s="93" t="s">
        <v>224</v>
      </c>
      <c r="C173" s="94"/>
      <c r="D173" s="94"/>
      <c r="E173" s="95"/>
      <c r="F173" s="96"/>
      <c r="G173" s="96"/>
      <c r="H173" s="97"/>
      <c r="I173" s="97"/>
      <c r="J173" s="97"/>
      <c r="K173" s="97"/>
      <c r="L173" s="98"/>
      <c r="M173" s="98"/>
      <c r="N173" s="98"/>
      <c r="O173" s="99"/>
      <c r="P173" s="99"/>
      <c r="Q173" s="99"/>
      <c r="R173" s="100"/>
      <c r="S173" s="101"/>
      <c r="T173" s="101"/>
      <c r="U173" s="101"/>
      <c r="V173" s="101"/>
      <c r="W173" s="101"/>
      <c r="X173" s="101"/>
      <c r="Y173" s="101"/>
      <c r="Z173" s="101"/>
      <c r="AA173" s="101"/>
      <c r="AB173" s="102"/>
    </row>
    <row r="174" spans="1:28" s="105" customFormat="1" ht="15.75" x14ac:dyDescent="0.25">
      <c r="B174" s="93" t="s">
        <v>205</v>
      </c>
      <c r="C174" s="94"/>
      <c r="D174" s="94"/>
      <c r="E174" s="95"/>
      <c r="F174" s="96"/>
      <c r="G174" s="96"/>
      <c r="H174" s="97"/>
      <c r="I174" s="97"/>
      <c r="J174" s="97"/>
      <c r="K174" s="97"/>
      <c r="L174" s="98"/>
      <c r="M174" s="98"/>
      <c r="N174" s="98"/>
      <c r="O174" s="99"/>
      <c r="P174" s="99"/>
      <c r="Q174" s="99"/>
      <c r="R174" s="100"/>
      <c r="S174" s="101"/>
      <c r="T174" s="101"/>
      <c r="U174" s="101"/>
      <c r="V174" s="101"/>
      <c r="W174" s="101"/>
      <c r="X174" s="101"/>
      <c r="Y174" s="101"/>
      <c r="Z174" s="101"/>
      <c r="AA174" s="101"/>
      <c r="AB174" s="102"/>
    </row>
    <row r="175" spans="1:28" s="105" customFormat="1" ht="15.75" x14ac:dyDescent="0.25">
      <c r="B175" s="93"/>
      <c r="C175" s="94"/>
      <c r="D175" s="94"/>
      <c r="E175" s="95"/>
      <c r="F175" s="96"/>
      <c r="G175" s="96"/>
      <c r="H175" s="97"/>
      <c r="I175" s="97"/>
      <c r="J175" s="97"/>
      <c r="K175" s="97"/>
      <c r="L175" s="98"/>
      <c r="M175" s="98"/>
      <c r="N175" s="98"/>
      <c r="O175" s="99"/>
      <c r="P175" s="99"/>
      <c r="Q175" s="99"/>
      <c r="R175" s="100"/>
      <c r="S175" s="101"/>
      <c r="T175" s="101"/>
      <c r="U175" s="101"/>
      <c r="V175" s="101"/>
      <c r="W175" s="101"/>
      <c r="X175" s="101"/>
      <c r="Y175" s="101"/>
      <c r="Z175" s="101"/>
      <c r="AA175" s="101"/>
      <c r="AB175" s="102"/>
    </row>
    <row r="176" spans="1:28" s="105" customFormat="1" ht="15.75" x14ac:dyDescent="0.25">
      <c r="B176" s="93" t="s">
        <v>228</v>
      </c>
      <c r="C176" s="94"/>
      <c r="D176" s="94"/>
      <c r="E176" s="95"/>
      <c r="F176" s="96"/>
      <c r="G176" s="96"/>
      <c r="H176" s="97"/>
      <c r="I176" s="97"/>
      <c r="J176" s="97"/>
      <c r="K176" s="97"/>
      <c r="L176" s="98"/>
      <c r="M176" s="98"/>
      <c r="N176" s="98"/>
      <c r="O176" s="99"/>
      <c r="P176" s="99"/>
      <c r="Q176" s="99"/>
      <c r="R176" s="100"/>
      <c r="S176" s="101"/>
      <c r="T176" s="101"/>
      <c r="U176" s="101"/>
      <c r="V176" s="101"/>
      <c r="W176" s="101"/>
      <c r="X176" s="101"/>
      <c r="Y176" s="101"/>
      <c r="Z176" s="101"/>
      <c r="AA176" s="101"/>
      <c r="AB176" s="102"/>
    </row>
    <row r="177" spans="2:28" s="105" customFormat="1" ht="15.75" x14ac:dyDescent="0.25">
      <c r="B177" s="94"/>
      <c r="C177" s="94"/>
      <c r="D177" s="94"/>
      <c r="E177" s="95"/>
      <c r="F177" s="96"/>
      <c r="G177" s="96"/>
      <c r="H177" s="97"/>
      <c r="I177" s="97"/>
      <c r="J177" s="97"/>
      <c r="K177" s="97"/>
      <c r="L177" s="98"/>
      <c r="M177" s="98"/>
      <c r="N177" s="98"/>
      <c r="O177" s="99"/>
      <c r="P177" s="99"/>
      <c r="Q177" s="99"/>
      <c r="R177" s="100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2"/>
    </row>
    <row r="178" spans="2:28" s="105" customFormat="1" x14ac:dyDescent="0.25">
      <c r="B178" s="103"/>
      <c r="C178" s="103"/>
      <c r="D178" s="103"/>
      <c r="E178" s="104"/>
      <c r="F178" s="98"/>
      <c r="G178" s="98"/>
      <c r="H178" s="97"/>
      <c r="I178" s="97"/>
      <c r="J178" s="97"/>
      <c r="K178" s="97"/>
      <c r="L178" s="98"/>
      <c r="M178" s="98"/>
      <c r="N178" s="98"/>
      <c r="O178" s="99"/>
      <c r="P178" s="99"/>
      <c r="Q178" s="99"/>
      <c r="R178" s="100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2"/>
    </row>
    <row r="179" spans="2:28" s="105" customFormat="1" x14ac:dyDescent="0.25"/>
    <row r="180" spans="2:28" s="105" customFormat="1" x14ac:dyDescent="0.25"/>
    <row r="181" spans="2:28" x14ac:dyDescent="0.25"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</row>
    <row r="182" spans="2:28" x14ac:dyDescent="0.25"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</row>
    <row r="183" spans="2:28" x14ac:dyDescent="0.25"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</row>
    <row r="184" spans="2:28" x14ac:dyDescent="0.25"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</row>
    <row r="185" spans="2:28" x14ac:dyDescent="0.25"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</row>
    <row r="186" spans="2:28" x14ac:dyDescent="0.25"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</row>
    <row r="187" spans="2:28" x14ac:dyDescent="0.25"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</row>
    <row r="188" spans="2:28" x14ac:dyDescent="0.25"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</row>
    <row r="189" spans="2:28" x14ac:dyDescent="0.25"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</row>
    <row r="190" spans="2:28" x14ac:dyDescent="0.25"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</row>
    <row r="191" spans="2:28" x14ac:dyDescent="0.25"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</row>
    <row r="192" spans="2:28" x14ac:dyDescent="0.25"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</row>
    <row r="193" spans="2:13" x14ac:dyDescent="0.25"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</row>
    <row r="194" spans="2:13" x14ac:dyDescent="0.25"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</row>
    <row r="195" spans="2:13" x14ac:dyDescent="0.25"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</row>
    <row r="196" spans="2:13" x14ac:dyDescent="0.25"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</row>
  </sheetData>
  <sheetProtection password="C21A" sheet="1" objects="1" scenarios="1"/>
  <mergeCells count="31">
    <mergeCell ref="J4:K4"/>
    <mergeCell ref="L4:L5"/>
    <mergeCell ref="M4:N4"/>
    <mergeCell ref="O4:O5"/>
    <mergeCell ref="P4:Q4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</mergeCells>
  <pageMargins left="0.31496062992125984" right="0.11811023622047245" top="0" bottom="0" header="0.31496062992125984" footer="0.31496062992125984"/>
  <pageSetup paperSize="8"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Мишина Юлия Викторовна</cp:lastModifiedBy>
  <cp:lastPrinted>2024-02-01T13:57:31Z</cp:lastPrinted>
  <dcterms:created xsi:type="dcterms:W3CDTF">2020-02-03T08:43:29Z</dcterms:created>
  <dcterms:modified xsi:type="dcterms:W3CDTF">2024-04-11T15:12:12Z</dcterms:modified>
</cp:coreProperties>
</file>