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Structure="1"/>
  <bookViews>
    <workbookView xWindow="0" yWindow="0" windowWidth="25440" windowHeight="12435" tabRatio="5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Лист1!$2:$5</definedName>
    <definedName name="_xlnm.Print_Area" localSheetId="0">Лист1!$A$1:$V$176</definedName>
  </definedNames>
  <calcPr calcId="145621"/>
</workbook>
</file>

<file path=xl/calcChain.xml><?xml version="1.0" encoding="utf-8"?>
<calcChain xmlns="http://schemas.openxmlformats.org/spreadsheetml/2006/main">
  <c r="N61" i="1" l="1"/>
  <c r="N60" i="1"/>
  <c r="J61" i="1"/>
  <c r="J60" i="1"/>
  <c r="M60" i="1" l="1"/>
  <c r="I61" i="1"/>
  <c r="I60" i="1"/>
  <c r="I95" i="1"/>
  <c r="M95" i="1"/>
  <c r="M94" i="1"/>
  <c r="I94" i="1"/>
  <c r="P95" i="1" l="1"/>
  <c r="P94" i="1"/>
  <c r="P93" i="1"/>
  <c r="Q60" i="1" l="1"/>
  <c r="P60" i="1"/>
  <c r="Q59" i="1"/>
  <c r="P59" i="1"/>
  <c r="N78" i="1" l="1"/>
  <c r="N77" i="1"/>
  <c r="M78" i="1"/>
  <c r="M77" i="1"/>
  <c r="M76" i="1"/>
  <c r="J78" i="1"/>
  <c r="J77" i="1"/>
  <c r="I78" i="1"/>
  <c r="I77" i="1"/>
  <c r="I76" i="1"/>
  <c r="N69" i="1" l="1"/>
  <c r="N67" i="1"/>
  <c r="J69" i="1"/>
  <c r="J67" i="1"/>
  <c r="M61" i="1" l="1"/>
  <c r="N59" i="1" l="1"/>
  <c r="M59" i="1"/>
  <c r="J59" i="1"/>
  <c r="I59" i="1"/>
  <c r="I93" i="1" l="1"/>
  <c r="N95" i="1" l="1"/>
  <c r="N94" i="1"/>
  <c r="J95" i="1"/>
  <c r="J94" i="1"/>
  <c r="M93" i="1" l="1"/>
  <c r="M71" i="1" l="1"/>
  <c r="M70" i="1"/>
  <c r="M69" i="1"/>
  <c r="M67" i="1"/>
  <c r="I69" i="1"/>
  <c r="K171" i="1" l="1"/>
  <c r="J171" i="1"/>
  <c r="I171" i="1" s="1"/>
  <c r="K170" i="1"/>
  <c r="I170" i="1" s="1"/>
  <c r="J170" i="1"/>
  <c r="R170" i="1"/>
  <c r="Q170" i="1"/>
  <c r="R171" i="1"/>
  <c r="S10" i="1" l="1"/>
  <c r="S118" i="1" l="1"/>
  <c r="T69" i="1"/>
  <c r="T70" i="1"/>
  <c r="M127" i="1" l="1"/>
  <c r="T142" i="1" l="1"/>
  <c r="S127" i="1" l="1"/>
  <c r="S130" i="1"/>
  <c r="P74" i="1"/>
  <c r="T45" i="1" l="1"/>
  <c r="T38" i="1" s="1"/>
  <c r="U43" i="1"/>
  <c r="T43" i="1"/>
  <c r="T51" i="1"/>
  <c r="T52" i="1"/>
  <c r="S52" i="1"/>
  <c r="S51" i="1" s="1"/>
  <c r="U51" i="1" s="1"/>
  <c r="U65" i="1"/>
  <c r="S65" i="1"/>
  <c r="U57" i="1"/>
  <c r="S8" i="1"/>
  <c r="U8" i="1" s="1"/>
  <c r="U10" i="1"/>
  <c r="S21" i="1"/>
  <c r="U25" i="1"/>
  <c r="U11" i="1"/>
  <c r="U55" i="1"/>
  <c r="U56" i="1"/>
  <c r="U59" i="1"/>
  <c r="U60" i="1"/>
  <c r="U62" i="1"/>
  <c r="U83" i="1"/>
  <c r="U90" i="1"/>
  <c r="U91" i="1"/>
  <c r="U93" i="1"/>
  <c r="U94" i="1"/>
  <c r="S53" i="1"/>
  <c r="U53" i="1" s="1"/>
  <c r="T86" i="1"/>
  <c r="S99" i="1"/>
  <c r="S87" i="1"/>
  <c r="U87" i="1" s="1"/>
  <c r="S89" i="1"/>
  <c r="U89" i="1" s="1"/>
  <c r="S80" i="1"/>
  <c r="U80" i="1" s="1"/>
  <c r="T53" i="1"/>
  <c r="S39" i="1"/>
  <c r="S38" i="1" s="1"/>
  <c r="S37" i="1" s="1"/>
  <c r="S12" i="1"/>
  <c r="S7" i="1" l="1"/>
  <c r="S6" i="1"/>
  <c r="T37" i="1"/>
  <c r="T6" i="1" s="1"/>
  <c r="T50" i="1" s="1"/>
  <c r="T105" i="1" s="1"/>
  <c r="S124" i="1" s="1"/>
  <c r="U38" i="1"/>
  <c r="U45" i="1"/>
  <c r="U52" i="1"/>
  <c r="U7" i="1"/>
  <c r="U21" i="1"/>
  <c r="S86" i="1"/>
  <c r="U86" i="1" s="1"/>
  <c r="U37" i="1" l="1"/>
  <c r="S50" i="1"/>
  <c r="S105" i="1" s="1"/>
  <c r="U105" i="1" s="1"/>
  <c r="U6" i="1"/>
  <c r="U50" i="1" s="1"/>
  <c r="S104" i="1" l="1"/>
  <c r="T46" i="1" l="1"/>
  <c r="T47" i="1"/>
  <c r="T44" i="1"/>
  <c r="M161" i="1"/>
  <c r="M125" i="1" l="1"/>
  <c r="S125" i="1" s="1"/>
  <c r="Q171" i="1" l="1"/>
  <c r="O171" i="1"/>
  <c r="N171" i="1"/>
  <c r="O170" i="1"/>
  <c r="N170" i="1"/>
  <c r="N74" i="1" l="1"/>
  <c r="N70" i="1"/>
  <c r="J74" i="1"/>
  <c r="J73" i="1"/>
  <c r="J70" i="1"/>
  <c r="I73" i="1"/>
  <c r="P61" i="1" l="1"/>
  <c r="P158" i="1" l="1"/>
  <c r="I159" i="1"/>
  <c r="I158" i="1"/>
  <c r="N90" i="1" l="1"/>
  <c r="N89" i="1"/>
  <c r="J91" i="1"/>
  <c r="J90" i="1"/>
  <c r="J89" i="1"/>
  <c r="J87" i="1"/>
  <c r="N53" i="1"/>
  <c r="J53" i="1"/>
  <c r="N57" i="1"/>
  <c r="N55" i="1"/>
  <c r="N80" i="1"/>
  <c r="J84" i="1"/>
  <c r="J80" i="1"/>
  <c r="J57" i="1"/>
  <c r="J47" i="1"/>
  <c r="J37" i="1"/>
  <c r="J38" i="1"/>
  <c r="J48" i="1"/>
  <c r="N48" i="1"/>
  <c r="N134" i="1"/>
  <c r="M103" i="1"/>
  <c r="M99" i="1" s="1"/>
  <c r="M91" i="1"/>
  <c r="M87" i="1"/>
  <c r="M90" i="1"/>
  <c r="M89" i="1"/>
  <c r="I103" i="1"/>
  <c r="I99" i="1"/>
  <c r="I91" i="1"/>
  <c r="I87" i="1"/>
  <c r="I90" i="1"/>
  <c r="I89" i="1"/>
  <c r="N45" i="1"/>
  <c r="N44" i="1"/>
  <c r="N43" i="1"/>
  <c r="M39" i="1"/>
  <c r="M25" i="1"/>
  <c r="M12" i="1"/>
  <c r="M83" i="1"/>
  <c r="M62" i="1"/>
  <c r="M57" i="1"/>
  <c r="M53" i="1"/>
  <c r="J134" i="1"/>
  <c r="I84" i="1"/>
  <c r="I83" i="1"/>
  <c r="I82" i="1"/>
  <c r="I57" i="1"/>
  <c r="I53" i="1"/>
  <c r="N87" i="1" l="1"/>
  <c r="M84" i="1"/>
  <c r="M80" i="1" s="1"/>
  <c r="I80" i="1"/>
  <c r="M128" i="1"/>
  <c r="M129" i="1"/>
  <c r="M130" i="1"/>
  <c r="I12" i="1" l="1"/>
  <c r="I39" i="1"/>
  <c r="I27" i="1"/>
  <c r="I25" i="1"/>
  <c r="P171" i="1"/>
  <c r="P170" i="1"/>
  <c r="S151" i="1"/>
  <c r="Q152" i="1"/>
  <c r="Q151" i="1"/>
  <c r="P152" i="1"/>
  <c r="S152" i="1" l="1"/>
  <c r="S129" i="1"/>
  <c r="P86" i="1"/>
  <c r="P53" i="1"/>
  <c r="P52" i="1"/>
  <c r="Q91" i="1"/>
  <c r="P91" i="1"/>
  <c r="Q57" i="1"/>
  <c r="P57" i="1"/>
  <c r="Q134" i="1"/>
  <c r="P99" i="1"/>
  <c r="P80" i="1"/>
  <c r="Q80" i="1"/>
  <c r="Q56" i="1"/>
  <c r="Q53" i="1"/>
  <c r="Q55" i="1"/>
  <c r="P87" i="1"/>
  <c r="Q87" i="1"/>
  <c r="Q44" i="1"/>
  <c r="Q43" i="1"/>
  <c r="Q45" i="1"/>
  <c r="Q46" i="1"/>
  <c r="P39" i="1"/>
  <c r="P25" i="1"/>
  <c r="P12" i="1"/>
  <c r="S171" i="1" l="1"/>
  <c r="F171" i="1"/>
  <c r="H170" i="1"/>
  <c r="G170" i="1"/>
  <c r="S170" i="1" l="1"/>
  <c r="J45" i="1"/>
  <c r="M171" i="1" l="1"/>
  <c r="M170" i="1"/>
  <c r="M113" i="1" l="1"/>
  <c r="C128" i="1" l="1"/>
  <c r="K106" i="1" l="1"/>
  <c r="O106" i="1"/>
  <c r="S128" i="1" l="1"/>
  <c r="P118" i="1"/>
  <c r="M118" i="1"/>
  <c r="F170" i="1"/>
  <c r="I165" i="1"/>
  <c r="I164" i="1"/>
  <c r="I163" i="1"/>
  <c r="F159" i="1"/>
  <c r="G152" i="1"/>
  <c r="F152" i="1"/>
  <c r="G140" i="1"/>
  <c r="G142" i="1"/>
  <c r="G134" i="1"/>
  <c r="F118" i="1"/>
  <c r="G62" i="1"/>
  <c r="F62" i="1"/>
  <c r="G99" i="1"/>
  <c r="F99" i="1"/>
  <c r="G80" i="1"/>
  <c r="F80" i="1"/>
  <c r="J44" i="1"/>
  <c r="J43" i="1"/>
  <c r="G44" i="1"/>
  <c r="G45" i="1"/>
  <c r="G46" i="1"/>
  <c r="G43" i="1"/>
  <c r="I35" i="1"/>
  <c r="F25" i="1"/>
  <c r="C171" i="1"/>
  <c r="C170" i="1"/>
  <c r="C153" i="1"/>
  <c r="C127" i="1"/>
  <c r="C124" i="1"/>
  <c r="C125" i="1" s="1"/>
  <c r="C118" i="1"/>
  <c r="C103" i="1"/>
  <c r="C99" i="1" s="1"/>
  <c r="D99" i="1"/>
  <c r="C95" i="1"/>
  <c r="D94" i="1"/>
  <c r="C94" i="1"/>
  <c r="C93" i="1"/>
  <c r="C59" i="1" s="1"/>
  <c r="C91" i="1"/>
  <c r="C90" i="1"/>
  <c r="C89" i="1"/>
  <c r="C87" i="1"/>
  <c r="D84" i="1"/>
  <c r="C84" i="1"/>
  <c r="C83" i="1"/>
  <c r="C82" i="1"/>
  <c r="D80" i="1"/>
  <c r="C74" i="1"/>
  <c r="C71" i="1"/>
  <c r="C70" i="1"/>
  <c r="C69" i="1"/>
  <c r="C67" i="1"/>
  <c r="C63" i="1"/>
  <c r="C62" i="1"/>
  <c r="C61" i="1"/>
  <c r="C60" i="1"/>
  <c r="D57" i="1"/>
  <c r="C57" i="1"/>
  <c r="C56" i="1"/>
  <c r="C55" i="1"/>
  <c r="D53" i="1"/>
  <c r="D49" i="1"/>
  <c r="D44" i="1"/>
  <c r="D45" i="1"/>
  <c r="D46" i="1"/>
  <c r="D47" i="1"/>
  <c r="D43" i="1"/>
  <c r="C39" i="1"/>
  <c r="C28" i="1"/>
  <c r="C27" i="1"/>
  <c r="C25" i="1"/>
  <c r="M163" i="1" l="1"/>
  <c r="S163" i="1"/>
  <c r="M164" i="1"/>
  <c r="S164" i="1"/>
  <c r="M165" i="1"/>
  <c r="S165" i="1"/>
  <c r="C53" i="1"/>
  <c r="M166" i="1"/>
  <c r="S166" i="1"/>
  <c r="C80" i="1"/>
  <c r="L157" i="1"/>
  <c r="V157" i="1"/>
  <c r="T169" i="1" l="1"/>
  <c r="S169" i="1"/>
  <c r="Q169" i="1"/>
  <c r="P169" i="1"/>
  <c r="N169" i="1"/>
  <c r="M169" i="1"/>
  <c r="J169" i="1"/>
  <c r="I169" i="1"/>
  <c r="G169" i="1"/>
  <c r="F169" i="1"/>
  <c r="D169" i="1"/>
  <c r="C169" i="1"/>
  <c r="P161" i="1" l="1"/>
  <c r="C86" i="1" l="1"/>
  <c r="C66" i="1" l="1"/>
  <c r="I86" i="1"/>
  <c r="I161" i="1" l="1"/>
  <c r="F161" i="1"/>
  <c r="C161" i="1"/>
  <c r="V161" i="1" l="1"/>
  <c r="L161" i="1"/>
  <c r="C123" i="1"/>
  <c r="U20" i="1" l="1"/>
  <c r="R19" i="1"/>
  <c r="R18" i="1"/>
  <c r="O19" i="1"/>
  <c r="K19" i="1"/>
  <c r="U19" i="1" s="1"/>
  <c r="H19" i="1"/>
  <c r="E19" i="1"/>
  <c r="T168" i="1"/>
  <c r="S168" i="1"/>
  <c r="Q168" i="1"/>
  <c r="P168" i="1"/>
  <c r="N168" i="1"/>
  <c r="M168" i="1"/>
  <c r="J168" i="1"/>
  <c r="I168" i="1"/>
  <c r="G168" i="1"/>
  <c r="F168" i="1"/>
  <c r="D168" i="1"/>
  <c r="C168" i="1"/>
  <c r="T167" i="1"/>
  <c r="S167" i="1"/>
  <c r="Q167" i="1"/>
  <c r="P167" i="1"/>
  <c r="N167" i="1"/>
  <c r="M167" i="1"/>
  <c r="J167" i="1"/>
  <c r="I167" i="1"/>
  <c r="G167" i="1"/>
  <c r="F167" i="1"/>
  <c r="D167" i="1"/>
  <c r="C167" i="1"/>
  <c r="V166" i="1"/>
  <c r="L166" i="1"/>
  <c r="V165" i="1"/>
  <c r="L165" i="1"/>
  <c r="V164" i="1"/>
  <c r="L164" i="1"/>
  <c r="V163" i="1"/>
  <c r="L163" i="1"/>
  <c r="M162" i="1"/>
  <c r="I162" i="1"/>
  <c r="S162" i="1" s="1"/>
  <c r="F162" i="1"/>
  <c r="C162" i="1"/>
  <c r="V160" i="1"/>
  <c r="L160" i="1"/>
  <c r="V159" i="1"/>
  <c r="L159" i="1"/>
  <c r="V158" i="1"/>
  <c r="L158" i="1"/>
  <c r="V156" i="1"/>
  <c r="U152" i="1"/>
  <c r="R152" i="1"/>
  <c r="O152" i="1"/>
  <c r="K152" i="1"/>
  <c r="H152" i="1"/>
  <c r="E152" i="1"/>
  <c r="U151" i="1"/>
  <c r="R151" i="1"/>
  <c r="O151" i="1"/>
  <c r="K151" i="1"/>
  <c r="H151" i="1"/>
  <c r="E151" i="1"/>
  <c r="T147" i="1"/>
  <c r="S147" i="1"/>
  <c r="Q147" i="1"/>
  <c r="P147" i="1"/>
  <c r="N147" i="1"/>
  <c r="M147" i="1"/>
  <c r="J147" i="1"/>
  <c r="I147" i="1"/>
  <c r="G147" i="1"/>
  <c r="F147" i="1"/>
  <c r="D147" i="1"/>
  <c r="C147" i="1"/>
  <c r="R146" i="1"/>
  <c r="O146" i="1"/>
  <c r="K146" i="1"/>
  <c r="H146" i="1"/>
  <c r="E146" i="1"/>
  <c r="U145" i="1"/>
  <c r="R145" i="1"/>
  <c r="O145" i="1"/>
  <c r="K145" i="1"/>
  <c r="H145" i="1"/>
  <c r="E145" i="1"/>
  <c r="U144" i="1"/>
  <c r="R144" i="1"/>
  <c r="O144" i="1"/>
  <c r="K144" i="1"/>
  <c r="H144" i="1"/>
  <c r="E144" i="1"/>
  <c r="U143" i="1"/>
  <c r="R143" i="1"/>
  <c r="O143" i="1"/>
  <c r="K143" i="1"/>
  <c r="H143" i="1"/>
  <c r="E143" i="1"/>
  <c r="U142" i="1"/>
  <c r="R142" i="1"/>
  <c r="O142" i="1"/>
  <c r="K142" i="1"/>
  <c r="H142" i="1"/>
  <c r="E142" i="1"/>
  <c r="U141" i="1"/>
  <c r="R141" i="1"/>
  <c r="O141" i="1"/>
  <c r="K141" i="1"/>
  <c r="H141" i="1"/>
  <c r="E141" i="1"/>
  <c r="U140" i="1"/>
  <c r="R140" i="1"/>
  <c r="O140" i="1"/>
  <c r="K140" i="1"/>
  <c r="H140" i="1"/>
  <c r="E140" i="1"/>
  <c r="U139" i="1"/>
  <c r="R139" i="1"/>
  <c r="O139" i="1"/>
  <c r="K139" i="1"/>
  <c r="H139" i="1"/>
  <c r="E139" i="1"/>
  <c r="U138" i="1"/>
  <c r="R138" i="1"/>
  <c r="O138" i="1"/>
  <c r="K138" i="1"/>
  <c r="H138" i="1"/>
  <c r="E138" i="1"/>
  <c r="U137" i="1"/>
  <c r="R137" i="1"/>
  <c r="O137" i="1"/>
  <c r="K137" i="1"/>
  <c r="H137" i="1"/>
  <c r="E137" i="1"/>
  <c r="U136" i="1"/>
  <c r="R136" i="1"/>
  <c r="O136" i="1"/>
  <c r="K136" i="1"/>
  <c r="H136" i="1"/>
  <c r="E136" i="1"/>
  <c r="U135" i="1"/>
  <c r="R135" i="1"/>
  <c r="O135" i="1"/>
  <c r="K135" i="1"/>
  <c r="H135" i="1"/>
  <c r="E135" i="1"/>
  <c r="U134" i="1"/>
  <c r="R134" i="1"/>
  <c r="O134" i="1"/>
  <c r="K134" i="1"/>
  <c r="H134" i="1"/>
  <c r="E134" i="1"/>
  <c r="U133" i="1"/>
  <c r="R133" i="1"/>
  <c r="O133" i="1"/>
  <c r="K133" i="1"/>
  <c r="H133" i="1"/>
  <c r="E133" i="1"/>
  <c r="T132" i="1"/>
  <c r="S132" i="1"/>
  <c r="Q132" i="1"/>
  <c r="P132" i="1"/>
  <c r="N132" i="1"/>
  <c r="M132" i="1"/>
  <c r="J132" i="1"/>
  <c r="I132" i="1"/>
  <c r="G132" i="1"/>
  <c r="F132" i="1"/>
  <c r="D132" i="1"/>
  <c r="C132" i="1"/>
  <c r="V131" i="1"/>
  <c r="M123" i="1"/>
  <c r="S115" i="1"/>
  <c r="S155" i="1" s="1"/>
  <c r="P115" i="1"/>
  <c r="M115" i="1"/>
  <c r="I115" i="1"/>
  <c r="F115" i="1"/>
  <c r="C115" i="1"/>
  <c r="S110" i="1"/>
  <c r="P110" i="1"/>
  <c r="M110" i="1"/>
  <c r="I110" i="1"/>
  <c r="F110" i="1"/>
  <c r="C110" i="1"/>
  <c r="U103" i="1"/>
  <c r="R103" i="1"/>
  <c r="O103" i="1"/>
  <c r="K103" i="1"/>
  <c r="H103" i="1"/>
  <c r="E103" i="1"/>
  <c r="U102" i="1"/>
  <c r="R102" i="1"/>
  <c r="O102" i="1"/>
  <c r="K102" i="1"/>
  <c r="H102" i="1"/>
  <c r="E102" i="1"/>
  <c r="U101" i="1"/>
  <c r="R101" i="1"/>
  <c r="O101" i="1"/>
  <c r="K101" i="1"/>
  <c r="H101" i="1"/>
  <c r="E101" i="1"/>
  <c r="U99" i="1"/>
  <c r="R99" i="1"/>
  <c r="O99" i="1"/>
  <c r="K99" i="1"/>
  <c r="H99" i="1"/>
  <c r="E99" i="1"/>
  <c r="U98" i="1"/>
  <c r="R98" i="1"/>
  <c r="O98" i="1"/>
  <c r="K98" i="1"/>
  <c r="H98" i="1"/>
  <c r="E98" i="1"/>
  <c r="U97" i="1"/>
  <c r="R97" i="1"/>
  <c r="O97" i="1"/>
  <c r="K97" i="1"/>
  <c r="H97" i="1"/>
  <c r="E97" i="1"/>
  <c r="U96" i="1"/>
  <c r="R96" i="1"/>
  <c r="O96" i="1"/>
  <c r="K96" i="1"/>
  <c r="H96" i="1"/>
  <c r="E96" i="1"/>
  <c r="U95" i="1"/>
  <c r="R95" i="1"/>
  <c r="O95" i="1"/>
  <c r="K95" i="1"/>
  <c r="H95" i="1"/>
  <c r="E95" i="1"/>
  <c r="R94" i="1"/>
  <c r="O94" i="1"/>
  <c r="K94" i="1"/>
  <c r="H94" i="1"/>
  <c r="E94" i="1"/>
  <c r="R93" i="1"/>
  <c r="O93" i="1"/>
  <c r="K93" i="1"/>
  <c r="H93" i="1"/>
  <c r="E93" i="1"/>
  <c r="R91" i="1"/>
  <c r="O91" i="1"/>
  <c r="K91" i="1"/>
  <c r="H91" i="1"/>
  <c r="E91" i="1"/>
  <c r="R90" i="1"/>
  <c r="O90" i="1"/>
  <c r="K90" i="1"/>
  <c r="H90" i="1"/>
  <c r="E90" i="1"/>
  <c r="R89" i="1"/>
  <c r="O89" i="1"/>
  <c r="K89" i="1"/>
  <c r="H89" i="1"/>
  <c r="E89" i="1"/>
  <c r="R87" i="1"/>
  <c r="O87" i="1"/>
  <c r="K87" i="1"/>
  <c r="H87" i="1"/>
  <c r="E87" i="1"/>
  <c r="Q86" i="1"/>
  <c r="N86" i="1"/>
  <c r="M86" i="1"/>
  <c r="J86" i="1"/>
  <c r="G86" i="1"/>
  <c r="F86" i="1"/>
  <c r="D86" i="1"/>
  <c r="U85" i="1"/>
  <c r="R85" i="1"/>
  <c r="O85" i="1"/>
  <c r="K85" i="1"/>
  <c r="H85" i="1"/>
  <c r="E85" i="1"/>
  <c r="U84" i="1"/>
  <c r="R84" i="1"/>
  <c r="O84" i="1"/>
  <c r="K84" i="1"/>
  <c r="H84" i="1"/>
  <c r="E84" i="1"/>
  <c r="R83" i="1"/>
  <c r="O83" i="1"/>
  <c r="K83" i="1"/>
  <c r="H83" i="1"/>
  <c r="E83" i="1"/>
  <c r="U82" i="1"/>
  <c r="R82" i="1"/>
  <c r="O82" i="1"/>
  <c r="K82" i="1"/>
  <c r="H82" i="1"/>
  <c r="E82" i="1"/>
  <c r="R80" i="1"/>
  <c r="O80" i="1"/>
  <c r="K80" i="1"/>
  <c r="H80" i="1"/>
  <c r="E80" i="1"/>
  <c r="U79" i="1"/>
  <c r="R79" i="1"/>
  <c r="O79" i="1"/>
  <c r="K79" i="1"/>
  <c r="H79" i="1"/>
  <c r="E79" i="1"/>
  <c r="U78" i="1"/>
  <c r="R78" i="1"/>
  <c r="O78" i="1"/>
  <c r="K78" i="1"/>
  <c r="H78" i="1"/>
  <c r="E78" i="1"/>
  <c r="U77" i="1"/>
  <c r="R77" i="1"/>
  <c r="O77" i="1"/>
  <c r="K77" i="1"/>
  <c r="H77" i="1"/>
  <c r="E77" i="1"/>
  <c r="U76" i="1"/>
  <c r="R76" i="1"/>
  <c r="O76" i="1"/>
  <c r="K76" i="1"/>
  <c r="H76" i="1"/>
  <c r="E76" i="1"/>
  <c r="U74" i="1"/>
  <c r="R74" i="1"/>
  <c r="O74" i="1"/>
  <c r="K74" i="1"/>
  <c r="H74" i="1"/>
  <c r="E74" i="1"/>
  <c r="U73" i="1"/>
  <c r="R73" i="1"/>
  <c r="O73" i="1"/>
  <c r="K73" i="1"/>
  <c r="H73" i="1"/>
  <c r="E73" i="1"/>
  <c r="U72" i="1"/>
  <c r="R72" i="1"/>
  <c r="O72" i="1"/>
  <c r="K72" i="1"/>
  <c r="H72" i="1"/>
  <c r="E72" i="1"/>
  <c r="U71" i="1"/>
  <c r="R71" i="1"/>
  <c r="O71" i="1"/>
  <c r="K71" i="1"/>
  <c r="H71" i="1"/>
  <c r="E71" i="1"/>
  <c r="U70" i="1"/>
  <c r="R70" i="1"/>
  <c r="O70" i="1"/>
  <c r="K70" i="1"/>
  <c r="H70" i="1"/>
  <c r="E70" i="1"/>
  <c r="U69" i="1"/>
  <c r="R69" i="1"/>
  <c r="O69" i="1"/>
  <c r="K69" i="1"/>
  <c r="H69" i="1"/>
  <c r="E69" i="1"/>
  <c r="U67" i="1"/>
  <c r="R67" i="1"/>
  <c r="O67" i="1"/>
  <c r="K67" i="1"/>
  <c r="H67" i="1"/>
  <c r="E67" i="1"/>
  <c r="T66" i="1"/>
  <c r="S66" i="1"/>
  <c r="Q66" i="1"/>
  <c r="P66" i="1"/>
  <c r="N66" i="1"/>
  <c r="M66" i="1"/>
  <c r="J66" i="1"/>
  <c r="I66" i="1"/>
  <c r="G66" i="1"/>
  <c r="F66" i="1"/>
  <c r="D66" i="1"/>
  <c r="R65" i="1"/>
  <c r="O65" i="1"/>
  <c r="K65" i="1"/>
  <c r="H65" i="1"/>
  <c r="E65" i="1"/>
  <c r="U64" i="1"/>
  <c r="R64" i="1"/>
  <c r="O64" i="1"/>
  <c r="K64" i="1"/>
  <c r="H64" i="1"/>
  <c r="E64" i="1"/>
  <c r="U63" i="1"/>
  <c r="R63" i="1"/>
  <c r="R169" i="1" s="1"/>
  <c r="O63" i="1"/>
  <c r="O169" i="1" s="1"/>
  <c r="K63" i="1"/>
  <c r="H63" i="1"/>
  <c r="E63" i="1"/>
  <c r="E169" i="1" s="1"/>
  <c r="R62" i="1"/>
  <c r="O62" i="1"/>
  <c r="K62" i="1"/>
  <c r="H62" i="1"/>
  <c r="E62" i="1"/>
  <c r="U61" i="1"/>
  <c r="R61" i="1"/>
  <c r="O61" i="1"/>
  <c r="K61" i="1"/>
  <c r="H61" i="1"/>
  <c r="E61" i="1"/>
  <c r="R60" i="1"/>
  <c r="O60" i="1"/>
  <c r="K60" i="1"/>
  <c r="H60" i="1"/>
  <c r="E60" i="1"/>
  <c r="R59" i="1"/>
  <c r="O59" i="1"/>
  <c r="K59" i="1"/>
  <c r="H59" i="1"/>
  <c r="E59" i="1"/>
  <c r="R57" i="1"/>
  <c r="O57" i="1"/>
  <c r="K57" i="1"/>
  <c r="H57" i="1"/>
  <c r="E57" i="1"/>
  <c r="R56" i="1"/>
  <c r="O56" i="1"/>
  <c r="K56" i="1"/>
  <c r="H56" i="1"/>
  <c r="E56" i="1"/>
  <c r="R55" i="1"/>
  <c r="O55" i="1"/>
  <c r="K55" i="1"/>
  <c r="H55" i="1"/>
  <c r="E55" i="1"/>
  <c r="R53" i="1"/>
  <c r="O53" i="1"/>
  <c r="K53" i="1"/>
  <c r="H53" i="1"/>
  <c r="E53" i="1"/>
  <c r="Q52" i="1"/>
  <c r="N52" i="1"/>
  <c r="M52" i="1"/>
  <c r="J52" i="1"/>
  <c r="I52" i="1"/>
  <c r="I51" i="1" s="1"/>
  <c r="I104" i="1" s="1"/>
  <c r="I109" i="1" s="1"/>
  <c r="I107" i="1" s="1"/>
  <c r="G52" i="1"/>
  <c r="F52" i="1"/>
  <c r="D52" i="1"/>
  <c r="D51" i="1" s="1"/>
  <c r="D104" i="1" s="1"/>
  <c r="C52" i="1"/>
  <c r="C51" i="1" s="1"/>
  <c r="C104" i="1" s="1"/>
  <c r="U49" i="1"/>
  <c r="R49" i="1"/>
  <c r="O49" i="1"/>
  <c r="K49" i="1"/>
  <c r="H49" i="1"/>
  <c r="E49" i="1"/>
  <c r="U48" i="1"/>
  <c r="R48" i="1"/>
  <c r="O48" i="1"/>
  <c r="K48" i="1"/>
  <c r="H48" i="1"/>
  <c r="E48" i="1"/>
  <c r="U47" i="1"/>
  <c r="R47" i="1"/>
  <c r="O47" i="1"/>
  <c r="K47" i="1"/>
  <c r="H47" i="1"/>
  <c r="E47" i="1"/>
  <c r="U46" i="1"/>
  <c r="R46" i="1"/>
  <c r="O46" i="1"/>
  <c r="K46" i="1"/>
  <c r="H46" i="1"/>
  <c r="E46" i="1"/>
  <c r="R45" i="1"/>
  <c r="O45" i="1"/>
  <c r="K45" i="1"/>
  <c r="H45" i="1"/>
  <c r="E45" i="1"/>
  <c r="U44" i="1"/>
  <c r="R44" i="1"/>
  <c r="O44" i="1"/>
  <c r="K44" i="1"/>
  <c r="H44" i="1"/>
  <c r="E44" i="1"/>
  <c r="R43" i="1"/>
  <c r="O43" i="1"/>
  <c r="K43" i="1"/>
  <c r="H43" i="1"/>
  <c r="E43" i="1"/>
  <c r="U42" i="1"/>
  <c r="R42" i="1"/>
  <c r="O42" i="1"/>
  <c r="K42" i="1"/>
  <c r="H42" i="1"/>
  <c r="E42" i="1"/>
  <c r="U41" i="1"/>
  <c r="R41" i="1"/>
  <c r="O41" i="1"/>
  <c r="K41" i="1"/>
  <c r="H41" i="1"/>
  <c r="E41" i="1"/>
  <c r="U40" i="1"/>
  <c r="R40" i="1"/>
  <c r="O40" i="1"/>
  <c r="K40" i="1"/>
  <c r="H40" i="1"/>
  <c r="E40" i="1"/>
  <c r="U39" i="1"/>
  <c r="R39" i="1"/>
  <c r="O39" i="1"/>
  <c r="K39" i="1"/>
  <c r="F39" i="1"/>
  <c r="H39" i="1" s="1"/>
  <c r="E39" i="1"/>
  <c r="Q38" i="1"/>
  <c r="Q37" i="1" s="1"/>
  <c r="N38" i="1"/>
  <c r="N37" i="1" s="1"/>
  <c r="G38" i="1"/>
  <c r="G37" i="1" s="1"/>
  <c r="D38" i="1"/>
  <c r="D37" i="1" s="1"/>
  <c r="C38" i="1"/>
  <c r="U36" i="1"/>
  <c r="R36" i="1"/>
  <c r="O36" i="1"/>
  <c r="K36" i="1"/>
  <c r="H36" i="1"/>
  <c r="E36" i="1"/>
  <c r="U35" i="1"/>
  <c r="R35" i="1"/>
  <c r="O35" i="1"/>
  <c r="K35" i="1"/>
  <c r="H35" i="1"/>
  <c r="E35" i="1"/>
  <c r="U33" i="1"/>
  <c r="R33" i="1"/>
  <c r="O33" i="1"/>
  <c r="K33" i="1"/>
  <c r="H33" i="1"/>
  <c r="E33" i="1"/>
  <c r="U32" i="1"/>
  <c r="R32" i="1"/>
  <c r="O32" i="1"/>
  <c r="K32" i="1"/>
  <c r="H32" i="1"/>
  <c r="E32" i="1"/>
  <c r="U31" i="1"/>
  <c r="R31" i="1"/>
  <c r="O31" i="1"/>
  <c r="K31" i="1"/>
  <c r="H31" i="1"/>
  <c r="E31" i="1"/>
  <c r="R30" i="1"/>
  <c r="O30" i="1"/>
  <c r="K30" i="1"/>
  <c r="U30" i="1" s="1"/>
  <c r="H30" i="1"/>
  <c r="E30" i="1"/>
  <c r="U29" i="1"/>
  <c r="R29" i="1"/>
  <c r="O29" i="1"/>
  <c r="K29" i="1"/>
  <c r="H29" i="1"/>
  <c r="E29" i="1"/>
  <c r="U28" i="1"/>
  <c r="R28" i="1"/>
  <c r="O28" i="1"/>
  <c r="K28" i="1"/>
  <c r="H28" i="1"/>
  <c r="E28" i="1"/>
  <c r="U27" i="1"/>
  <c r="R27" i="1"/>
  <c r="O27" i="1"/>
  <c r="K27" i="1"/>
  <c r="H27" i="1"/>
  <c r="E27" i="1"/>
  <c r="U26" i="1"/>
  <c r="R26" i="1"/>
  <c r="O26" i="1"/>
  <c r="K26" i="1"/>
  <c r="H26" i="1"/>
  <c r="E26" i="1"/>
  <c r="R25" i="1"/>
  <c r="O25" i="1"/>
  <c r="K25" i="1"/>
  <c r="H25" i="1"/>
  <c r="E25" i="1"/>
  <c r="U24" i="1"/>
  <c r="R24" i="1"/>
  <c r="O24" i="1"/>
  <c r="K24" i="1"/>
  <c r="H24" i="1"/>
  <c r="E24" i="1"/>
  <c r="U23" i="1"/>
  <c r="R23" i="1"/>
  <c r="O23" i="1"/>
  <c r="K23" i="1"/>
  <c r="H23" i="1"/>
  <c r="E23" i="1"/>
  <c r="T21" i="1"/>
  <c r="T7" i="1" s="1"/>
  <c r="Q21" i="1"/>
  <c r="Q7" i="1" s="1"/>
  <c r="P21" i="1"/>
  <c r="N21" i="1"/>
  <c r="N7" i="1" s="1"/>
  <c r="M21" i="1"/>
  <c r="J21" i="1"/>
  <c r="J7" i="1" s="1"/>
  <c r="I21" i="1"/>
  <c r="G21" i="1"/>
  <c r="F21" i="1"/>
  <c r="D21" i="1"/>
  <c r="D7" i="1" s="1"/>
  <c r="C21" i="1"/>
  <c r="R20" i="1"/>
  <c r="O20" i="1"/>
  <c r="K20" i="1"/>
  <c r="H20" i="1"/>
  <c r="E20" i="1"/>
  <c r="U18" i="1"/>
  <c r="O18" i="1"/>
  <c r="K18" i="1"/>
  <c r="H18" i="1"/>
  <c r="E18" i="1"/>
  <c r="U17" i="1"/>
  <c r="R17" i="1"/>
  <c r="O17" i="1"/>
  <c r="K17" i="1"/>
  <c r="H17" i="1"/>
  <c r="E17" i="1"/>
  <c r="U16" i="1"/>
  <c r="R16" i="1"/>
  <c r="O16" i="1"/>
  <c r="K16" i="1"/>
  <c r="H16" i="1"/>
  <c r="E16" i="1"/>
  <c r="U15" i="1"/>
  <c r="R15" i="1"/>
  <c r="O15" i="1"/>
  <c r="K15" i="1"/>
  <c r="H15" i="1"/>
  <c r="E15" i="1"/>
  <c r="U14" i="1"/>
  <c r="R14" i="1"/>
  <c r="O14" i="1"/>
  <c r="K14" i="1"/>
  <c r="H14" i="1"/>
  <c r="E14" i="1"/>
  <c r="U13" i="1"/>
  <c r="R13" i="1"/>
  <c r="O13" i="1"/>
  <c r="K13" i="1"/>
  <c r="H13" i="1"/>
  <c r="E13" i="1"/>
  <c r="T12" i="1"/>
  <c r="Q12" i="1"/>
  <c r="N12" i="1"/>
  <c r="M8" i="1"/>
  <c r="O8" i="1" s="1"/>
  <c r="J12" i="1"/>
  <c r="G12" i="1"/>
  <c r="F12" i="1"/>
  <c r="D12" i="1"/>
  <c r="C12" i="1"/>
  <c r="R11" i="1"/>
  <c r="O11" i="1"/>
  <c r="K11" i="1"/>
  <c r="H11" i="1"/>
  <c r="E11" i="1"/>
  <c r="R10" i="1"/>
  <c r="O10" i="1"/>
  <c r="K10" i="1"/>
  <c r="H10" i="1"/>
  <c r="E10" i="1"/>
  <c r="G7" i="1"/>
  <c r="V154" i="1" l="1"/>
  <c r="P153" i="1"/>
  <c r="M153" i="1"/>
  <c r="G51" i="1"/>
  <c r="G104" i="1" s="1"/>
  <c r="M51" i="1"/>
  <c r="M104" i="1" s="1"/>
  <c r="M148" i="1" s="1"/>
  <c r="V18" i="1"/>
  <c r="S153" i="1"/>
  <c r="V153" i="1" s="1"/>
  <c r="V155" i="1"/>
  <c r="O147" i="1"/>
  <c r="S148" i="1"/>
  <c r="R147" i="1"/>
  <c r="P51" i="1"/>
  <c r="U169" i="1"/>
  <c r="V169" i="1" s="1"/>
  <c r="T104" i="1"/>
  <c r="N51" i="1"/>
  <c r="N104" i="1" s="1"/>
  <c r="N148" i="1" s="1"/>
  <c r="N6" i="1"/>
  <c r="N50" i="1" s="1"/>
  <c r="F51" i="1"/>
  <c r="F104" i="1" s="1"/>
  <c r="K169" i="1"/>
  <c r="L169" i="1" s="1"/>
  <c r="H169" i="1"/>
  <c r="J6" i="1"/>
  <c r="J50" i="1" s="1"/>
  <c r="I38" i="1"/>
  <c r="G6" i="1"/>
  <c r="G50" i="1" s="1"/>
  <c r="E12" i="1"/>
  <c r="K12" i="1"/>
  <c r="R12" i="1"/>
  <c r="H21" i="1"/>
  <c r="J51" i="1"/>
  <c r="J104" i="1" s="1"/>
  <c r="J148" i="1" s="1"/>
  <c r="Q51" i="1"/>
  <c r="Q104" i="1" s="1"/>
  <c r="Q148" i="1" s="1"/>
  <c r="D148" i="1"/>
  <c r="V40" i="1"/>
  <c r="D6" i="1"/>
  <c r="D50" i="1" s="1"/>
  <c r="D105" i="1" s="1"/>
  <c r="E38" i="1"/>
  <c r="V47" i="1"/>
  <c r="V48" i="1"/>
  <c r="C8" i="1"/>
  <c r="E8" i="1" s="1"/>
  <c r="V142" i="1"/>
  <c r="L142" i="1"/>
  <c r="Q6" i="1"/>
  <c r="Q50" i="1" s="1"/>
  <c r="E21" i="1"/>
  <c r="K21" i="1"/>
  <c r="R21" i="1"/>
  <c r="L40" i="1"/>
  <c r="L48" i="1"/>
  <c r="E167" i="1"/>
  <c r="F38" i="1"/>
  <c r="R167" i="1"/>
  <c r="R168" i="1"/>
  <c r="V42" i="1"/>
  <c r="V43" i="1"/>
  <c r="V44" i="1"/>
  <c r="V46" i="1"/>
  <c r="L14" i="1"/>
  <c r="H167" i="1"/>
  <c r="H168" i="1"/>
  <c r="K167" i="1"/>
  <c r="L167" i="1" s="1"/>
  <c r="E168" i="1"/>
  <c r="K168" i="1"/>
  <c r="U167" i="1"/>
  <c r="V167" i="1" s="1"/>
  <c r="U168" i="1"/>
  <c r="O167" i="1"/>
  <c r="O168" i="1"/>
  <c r="L144" i="1"/>
  <c r="V143" i="1"/>
  <c r="V144" i="1"/>
  <c r="V134" i="1"/>
  <c r="V135" i="1"/>
  <c r="V136" i="1"/>
  <c r="V137" i="1"/>
  <c r="V138" i="1"/>
  <c r="V139" i="1"/>
  <c r="V140" i="1"/>
  <c r="L42" i="1"/>
  <c r="L44" i="1"/>
  <c r="L45" i="1"/>
  <c r="L46" i="1"/>
  <c r="V10" i="1"/>
  <c r="V13" i="1"/>
  <c r="V14" i="1"/>
  <c r="V15" i="1"/>
  <c r="V16" i="1"/>
  <c r="V17" i="1"/>
  <c r="V20" i="1"/>
  <c r="L20" i="1"/>
  <c r="L24" i="1"/>
  <c r="L26" i="1"/>
  <c r="L29" i="1"/>
  <c r="L30" i="1"/>
  <c r="L31" i="1"/>
  <c r="L32" i="1"/>
  <c r="L33" i="1"/>
  <c r="L35" i="1"/>
  <c r="L36" i="1"/>
  <c r="C37" i="1"/>
  <c r="E37" i="1" s="1"/>
  <c r="H132" i="1"/>
  <c r="O132" i="1"/>
  <c r="U132" i="1"/>
  <c r="V145" i="1"/>
  <c r="V146" i="1"/>
  <c r="L41" i="1"/>
  <c r="L143" i="1"/>
  <c r="L13" i="1"/>
  <c r="L17" i="1"/>
  <c r="L18" i="1"/>
  <c r="H147" i="1"/>
  <c r="U147" i="1"/>
  <c r="V19" i="1"/>
  <c r="L49" i="1"/>
  <c r="L10" i="1"/>
  <c r="L15" i="1"/>
  <c r="L16" i="1"/>
  <c r="L43" i="1"/>
  <c r="L47" i="1"/>
  <c r="I8" i="1"/>
  <c r="O21" i="1"/>
  <c r="M7" i="1"/>
  <c r="O7" i="1" s="1"/>
  <c r="P38" i="1"/>
  <c r="P37" i="1" s="1"/>
  <c r="R37" i="1" s="1"/>
  <c r="V41" i="1"/>
  <c r="V45" i="1"/>
  <c r="V49" i="1"/>
  <c r="H12" i="1"/>
  <c r="O12" i="1"/>
  <c r="U12" i="1"/>
  <c r="V12" i="1" s="1"/>
  <c r="V23" i="1"/>
  <c r="V24" i="1"/>
  <c r="V26" i="1"/>
  <c r="V29" i="1"/>
  <c r="V30" i="1"/>
  <c r="V31" i="1"/>
  <c r="V32" i="1"/>
  <c r="V33" i="1"/>
  <c r="V35" i="1"/>
  <c r="V36" i="1"/>
  <c r="G148" i="1"/>
  <c r="V53" i="1"/>
  <c r="V56" i="1"/>
  <c r="V57" i="1"/>
  <c r="V60" i="1"/>
  <c r="V61" i="1"/>
  <c r="V62" i="1"/>
  <c r="V63" i="1"/>
  <c r="V64" i="1"/>
  <c r="V65" i="1"/>
  <c r="V67" i="1"/>
  <c r="V69" i="1"/>
  <c r="V70" i="1"/>
  <c r="V71" i="1"/>
  <c r="V72" i="1"/>
  <c r="V73" i="1"/>
  <c r="V74" i="1"/>
  <c r="V76" i="1"/>
  <c r="V77" i="1"/>
  <c r="V78" i="1"/>
  <c r="V79" i="1"/>
  <c r="V80" i="1"/>
  <c r="V82" i="1"/>
  <c r="V83" i="1"/>
  <c r="V84" i="1"/>
  <c r="V85" i="1"/>
  <c r="V87" i="1"/>
  <c r="V89" i="1"/>
  <c r="V90" i="1"/>
  <c r="V94" i="1"/>
  <c r="V95" i="1"/>
  <c r="V96" i="1"/>
  <c r="V97" i="1"/>
  <c r="V98" i="1"/>
  <c r="V99" i="1"/>
  <c r="V101" i="1"/>
  <c r="V102" i="1"/>
  <c r="V103" i="1"/>
  <c r="E132" i="1"/>
  <c r="K132" i="1"/>
  <c r="R132" i="1"/>
  <c r="E147" i="1"/>
  <c r="K147" i="1"/>
  <c r="L134" i="1"/>
  <c r="L135" i="1"/>
  <c r="L136" i="1"/>
  <c r="L137" i="1"/>
  <c r="L138" i="1"/>
  <c r="L139" i="1"/>
  <c r="L140" i="1"/>
  <c r="V141" i="1"/>
  <c r="L141" i="1"/>
  <c r="L23" i="1"/>
  <c r="L39" i="1"/>
  <c r="F8" i="1"/>
  <c r="P8" i="1"/>
  <c r="E52" i="1"/>
  <c r="V39" i="1"/>
  <c r="L151" i="1"/>
  <c r="L152" i="1"/>
  <c r="L162" i="1"/>
  <c r="V162" i="1"/>
  <c r="H52" i="1"/>
  <c r="K52" i="1"/>
  <c r="O52" i="1"/>
  <c r="R52" i="1"/>
  <c r="L53" i="1"/>
  <c r="L56" i="1"/>
  <c r="L57" i="1"/>
  <c r="L60" i="1"/>
  <c r="L61" i="1"/>
  <c r="L62" i="1"/>
  <c r="L63" i="1"/>
  <c r="L64" i="1"/>
  <c r="L65" i="1"/>
  <c r="E66" i="1"/>
  <c r="H66" i="1"/>
  <c r="K66" i="1"/>
  <c r="L66" i="1" s="1"/>
  <c r="O66" i="1"/>
  <c r="R66" i="1"/>
  <c r="U66" i="1"/>
  <c r="L67" i="1"/>
  <c r="L69" i="1"/>
  <c r="L70" i="1"/>
  <c r="L71" i="1"/>
  <c r="L72" i="1"/>
  <c r="L73" i="1"/>
  <c r="L74" i="1"/>
  <c r="L76" i="1"/>
  <c r="L77" i="1"/>
  <c r="L78" i="1"/>
  <c r="L79" i="1"/>
  <c r="L80" i="1"/>
  <c r="L82" i="1"/>
  <c r="L83" i="1"/>
  <c r="L84" i="1"/>
  <c r="L85" i="1"/>
  <c r="E86" i="1"/>
  <c r="H86" i="1"/>
  <c r="K86" i="1"/>
  <c r="O86" i="1"/>
  <c r="R86" i="1"/>
  <c r="L87" i="1"/>
  <c r="L89" i="1"/>
  <c r="L90" i="1"/>
  <c r="L91" i="1"/>
  <c r="L96" i="1"/>
  <c r="L97" i="1"/>
  <c r="L98" i="1"/>
  <c r="L99" i="1"/>
  <c r="L101" i="1"/>
  <c r="L102" i="1"/>
  <c r="L103" i="1"/>
  <c r="L133" i="1"/>
  <c r="V133" i="1"/>
  <c r="V151" i="1"/>
  <c r="V152" i="1"/>
  <c r="L19" i="1"/>
  <c r="C148" i="1"/>
  <c r="E104" i="1"/>
  <c r="E51" i="1"/>
  <c r="I148" i="1"/>
  <c r="M38" i="1"/>
  <c r="L55" i="1"/>
  <c r="V55" i="1"/>
  <c r="L59" i="1"/>
  <c r="V59" i="1"/>
  <c r="L94" i="1"/>
  <c r="L95" i="1"/>
  <c r="V91" i="1"/>
  <c r="L145" i="1"/>
  <c r="L146" i="1"/>
  <c r="K38" i="1" l="1"/>
  <c r="I37" i="1"/>
  <c r="P148" i="1"/>
  <c r="P104" i="1"/>
  <c r="L86" i="1"/>
  <c r="V8" i="1"/>
  <c r="L38" i="1"/>
  <c r="L21" i="1"/>
  <c r="T148" i="1"/>
  <c r="K37" i="1"/>
  <c r="L37" i="1" s="1"/>
  <c r="O104" i="1"/>
  <c r="O148" i="1" s="1"/>
  <c r="C7" i="1"/>
  <c r="E7" i="1" s="1"/>
  <c r="L12" i="1"/>
  <c r="G105" i="1"/>
  <c r="V132" i="1"/>
  <c r="L147" i="1"/>
  <c r="H104" i="1"/>
  <c r="H148" i="1" s="1"/>
  <c r="O51" i="1"/>
  <c r="Q105" i="1"/>
  <c r="K104" i="1"/>
  <c r="L104" i="1" s="1"/>
  <c r="V21" i="1"/>
  <c r="R104" i="1"/>
  <c r="R148" i="1" s="1"/>
  <c r="R51" i="1"/>
  <c r="U104" i="1"/>
  <c r="V104" i="1" s="1"/>
  <c r="V51" i="1"/>
  <c r="R38" i="1"/>
  <c r="N105" i="1"/>
  <c r="H51" i="1"/>
  <c r="F148" i="1"/>
  <c r="K51" i="1"/>
  <c r="L51" i="1" s="1"/>
  <c r="J105" i="1"/>
  <c r="L52" i="1"/>
  <c r="L132" i="1"/>
  <c r="V52" i="1"/>
  <c r="L168" i="1"/>
  <c r="V168" i="1"/>
  <c r="H38" i="1"/>
  <c r="F37" i="1"/>
  <c r="H37" i="1" s="1"/>
  <c r="E148" i="1"/>
  <c r="V147" i="1"/>
  <c r="V86" i="1"/>
  <c r="V66" i="1"/>
  <c r="K8" i="1"/>
  <c r="L8" i="1" s="1"/>
  <c r="I7" i="1"/>
  <c r="R8" i="1"/>
  <c r="P7" i="1"/>
  <c r="H8" i="1"/>
  <c r="F7" i="1"/>
  <c r="V38" i="1"/>
  <c r="O38" i="1"/>
  <c r="M37" i="1"/>
  <c r="V7" i="1" l="1"/>
  <c r="K148" i="1"/>
  <c r="C6" i="1"/>
  <c r="C50" i="1" s="1"/>
  <c r="C105" i="1" s="1"/>
  <c r="U148" i="1"/>
  <c r="K7" i="1"/>
  <c r="L7" i="1" s="1"/>
  <c r="I6" i="1"/>
  <c r="R7" i="1"/>
  <c r="P6" i="1"/>
  <c r="H7" i="1"/>
  <c r="F6" i="1"/>
  <c r="V37" i="1"/>
  <c r="O37" i="1"/>
  <c r="M6" i="1"/>
  <c r="E6" i="1" l="1"/>
  <c r="E50" i="1" s="1"/>
  <c r="E105" i="1" s="1"/>
  <c r="C109" i="1"/>
  <c r="C107" i="1" s="1"/>
  <c r="I50" i="1"/>
  <c r="K6" i="1"/>
  <c r="F50" i="1"/>
  <c r="H6" i="1"/>
  <c r="H50" i="1" s="1"/>
  <c r="H105" i="1" s="1"/>
  <c r="P50" i="1"/>
  <c r="R6" i="1"/>
  <c r="R50" i="1" s="1"/>
  <c r="M50" i="1"/>
  <c r="O6" i="1"/>
  <c r="O50" i="1" s="1"/>
  <c r="L6" i="1" l="1"/>
  <c r="K50" i="1"/>
  <c r="I105" i="1"/>
  <c r="P105" i="1"/>
  <c r="R105" i="1" s="1"/>
  <c r="P109" i="1"/>
  <c r="P107" i="1" s="1"/>
  <c r="F105" i="1"/>
  <c r="F109" i="1"/>
  <c r="F107" i="1" s="1"/>
  <c r="S109" i="1"/>
  <c r="S107" i="1" s="1"/>
  <c r="V50" i="1"/>
  <c r="V6" i="1"/>
  <c r="M105" i="1"/>
  <c r="O105" i="1" s="1"/>
  <c r="M109" i="1"/>
  <c r="M107" i="1" s="1"/>
  <c r="S123" i="1" l="1"/>
  <c r="L50" i="1"/>
  <c r="K105" i="1"/>
</calcChain>
</file>

<file path=xl/sharedStrings.xml><?xml version="1.0" encoding="utf-8"?>
<sst xmlns="http://schemas.openxmlformats.org/spreadsheetml/2006/main" count="773" uniqueCount="229">
  <si>
    <t>тыс.руб.</t>
  </si>
  <si>
    <t>№ п/п</t>
  </si>
  <si>
    <t>ПОКАЗАТЕЛИ</t>
  </si>
  <si>
    <t>Исполнение за отчетный финансовый год</t>
  </si>
  <si>
    <t>Первоначальный план</t>
  </si>
  <si>
    <t>Уточненный план</t>
  </si>
  <si>
    <t>Местный бюджет (всего)</t>
  </si>
  <si>
    <t>в том числе:</t>
  </si>
  <si>
    <t>в том числе</t>
  </si>
  <si>
    <t>без  целевых средств</t>
  </si>
  <si>
    <t>без целевых средств</t>
  </si>
  <si>
    <t>I.</t>
  </si>
  <si>
    <t>Доходы</t>
  </si>
  <si>
    <t>1.1</t>
  </si>
  <si>
    <t>Налоговые и неналоговые доходы</t>
  </si>
  <si>
    <t>1.1.1.</t>
  </si>
  <si>
    <t>Налоговые доходы</t>
  </si>
  <si>
    <t>из них:</t>
  </si>
  <si>
    <t>а)</t>
  </si>
  <si>
    <t>Налог на доходы физических лиц</t>
  </si>
  <si>
    <t>б)</t>
  </si>
  <si>
    <t>Акцизы по подакцизным товарам (продукции)</t>
  </si>
  <si>
    <t>в)</t>
  </si>
  <si>
    <t>Налоги на совокупный доход</t>
  </si>
  <si>
    <t>-налог, взимаемый в связи с применением упрощенной системы налогообложения</t>
  </si>
  <si>
    <t>-единый налог на вмененный доход для отдельных видов деятельности</t>
  </si>
  <si>
    <t>-единый сельскохозяйственный налог</t>
  </si>
  <si>
    <t>-патентная система налогообложения</t>
  </si>
  <si>
    <t>г)</t>
  </si>
  <si>
    <t>Налог на имущество физических лиц</t>
  </si>
  <si>
    <t>д)</t>
  </si>
  <si>
    <t>Земельный налог</t>
  </si>
  <si>
    <t>е)</t>
  </si>
  <si>
    <t>Государственная пошлина</t>
  </si>
  <si>
    <t>ж)</t>
  </si>
  <si>
    <t>Прочие налоги</t>
  </si>
  <si>
    <t>1.1.2.</t>
  </si>
  <si>
    <t>Неналоговые доходы</t>
  </si>
  <si>
    <t>Доходы в виде прибыли, приходящейся на доли в уставных капиталах, или дивидендов по акциям</t>
  </si>
  <si>
    <t>Проценты, полученные от предоставления бюджетных кредитов</t>
  </si>
  <si>
    <t>Доходы, полученные в виде арендной платы за земельные участки</t>
  </si>
  <si>
    <t>Доходы от сдачи имущества в аренду</t>
  </si>
  <si>
    <t>Доходы от сдачи в аренду имущества, составляющего казну (за исключением земельных участков)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</si>
  <si>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</si>
  <si>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</si>
  <si>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з)</t>
  </si>
  <si>
    <t>Плата за негативное воздействие на окружающую среду</t>
  </si>
  <si>
    <t>и)</t>
  </si>
  <si>
    <t>Доходы от оказания платных услуг (работ) и компенсации затрат государства</t>
  </si>
  <si>
    <t>к)</t>
  </si>
  <si>
    <t>Доходы от продажи материальных и нематериальных активов</t>
  </si>
  <si>
    <t>л)</t>
  </si>
  <si>
    <t>Штрафы, санкции, возмещение ущерба</t>
  </si>
  <si>
    <t>-прочие денежные взыскания (штрафы) за правонарушения в области дорожного движения</t>
  </si>
  <si>
    <t>м)</t>
  </si>
  <si>
    <t>Прочие неналоговые доходы</t>
  </si>
  <si>
    <t>1.2</t>
  </si>
  <si>
    <t>Безвозмездные поступления всего</t>
  </si>
  <si>
    <t>1.2.1</t>
  </si>
  <si>
    <t>Безвозмездные поступления от бюджетов других уровней</t>
  </si>
  <si>
    <t xml:space="preserve">Дотации, в т.ч. </t>
  </si>
  <si>
    <t>на выравнивание бюджетной обеспеченности</t>
  </si>
  <si>
    <t>на сбалансированность бюджета</t>
  </si>
  <si>
    <t>прочие дотации</t>
  </si>
  <si>
    <t>Субсидии, в т.ч.</t>
  </si>
  <si>
    <t>-капитального характера</t>
  </si>
  <si>
    <t>Субвенции</t>
  </si>
  <si>
    <t>Иные межбюджетные трансферты</t>
  </si>
  <si>
    <t>1.2.2</t>
  </si>
  <si>
    <t>Прочие безвозмездные перечисления</t>
  </si>
  <si>
    <t>1.2.3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</si>
  <si>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</si>
  <si>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</si>
  <si>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</si>
  <si>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ИТОГО ДОХОДОВ</t>
  </si>
  <si>
    <t>II.</t>
  </si>
  <si>
    <t xml:space="preserve">Расходы  </t>
  </si>
  <si>
    <t>Органы местного самоуправления</t>
  </si>
  <si>
    <t>Расходы на выплаты персоналу в целях обеспечения выполнения функций муниципальными органами (КВР 100)-всего</t>
  </si>
  <si>
    <t>Фонд оплаты труда муниципальных органов (КВР 121)</t>
  </si>
  <si>
    <t xml:space="preserve">Взносы по обязательному социальному страхованию (КВР 129)      </t>
  </si>
  <si>
    <t xml:space="preserve">Закупка товаров, работ и услуг для обеспечения муниципальных нужд   (КВР 200) </t>
  </si>
  <si>
    <t>- коммунальные услуги (подстатья КОСГУ 223)</t>
  </si>
  <si>
    <t>- работы, услуги по содержанию имущества (подстатья КОСГУ 225)</t>
  </si>
  <si>
    <t>- увеличение стоимости основных средств (статья КОСГУ 310)</t>
  </si>
  <si>
    <t>1.3</t>
  </si>
  <si>
    <t xml:space="preserve">Расходы на социальное обеспечение и иные выплаты населению (КВР 300) </t>
  </si>
  <si>
    <t>1.4</t>
  </si>
  <si>
    <t xml:space="preserve">Расходы на капитальные вложения в объекты муниципальной собственности (КВР 400) </t>
  </si>
  <si>
    <t>1.5</t>
  </si>
  <si>
    <t>Межбюджетные трансферты (КВР 500)</t>
  </si>
  <si>
    <t>1.6</t>
  </si>
  <si>
    <t xml:space="preserve">Предоставление субсидий бюджетным, автономным учреждениям и иным некоммерческим организациям (КВР 600) </t>
  </si>
  <si>
    <t xml:space="preserve">Расходы на содержание учреждений, осуществляемые за счет предоставленных субсидий бюджетным и автономным учреждениям                                                 </t>
  </si>
  <si>
    <t>1.6.1</t>
  </si>
  <si>
    <t xml:space="preserve">Выплаты персоналу, всего:       </t>
  </si>
  <si>
    <t>-оплата труда и начисления на выплаты по оплате труда</t>
  </si>
  <si>
    <t>1.6.2</t>
  </si>
  <si>
    <t>Социальные и иные выплаты населению</t>
  </si>
  <si>
    <t>1.6.3</t>
  </si>
  <si>
    <t>Уплата налогов, сборов и иных платежей</t>
  </si>
  <si>
    <t>1.6.4</t>
  </si>
  <si>
    <t>Безвозмездные перечисления организациям</t>
  </si>
  <si>
    <t>1.6.5</t>
  </si>
  <si>
    <t>Прочие расходы (кроме расходов на закупку товаров, работ, услуг)</t>
  </si>
  <si>
    <t>Расходы на закупку товаров, работ, услуг</t>
  </si>
  <si>
    <t>-коммунальные услуги (подстатья КОСГУ 223)</t>
  </si>
  <si>
    <t>1.7</t>
  </si>
  <si>
    <t xml:space="preserve">Расходы на обслуживание муниципального долга (КВР 730) </t>
  </si>
  <si>
    <t>1.8</t>
  </si>
  <si>
    <r>
      <t>Расходы на иные бюджетные ассигнования (КВР 800)</t>
    </r>
    <r>
      <rPr>
        <b/>
        <sz val="10"/>
        <rFont val="Times New Roman"/>
        <family val="1"/>
        <charset val="204"/>
      </rPr>
      <t xml:space="preserve"> </t>
    </r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</si>
  <si>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</si>
  <si>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 xml:space="preserve">Расходы на исполнение судебных актов (КВР 830) </t>
  </si>
  <si>
    <t xml:space="preserve">Расходы на уплату налогов, сборов и иных платежей (КВР 850) </t>
  </si>
  <si>
    <t xml:space="preserve">Резервные средства (КВР 870)   </t>
  </si>
  <si>
    <t>2</t>
  </si>
  <si>
    <t>Казенные учреждения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</si>
  <si>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</si>
  <si>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</si>
  <si>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Фонд оплаты труда казенных учреждений (КВР 111)</t>
  </si>
  <si>
    <t xml:space="preserve">Взносы по обязательному социальному страхованию (КВР 119)      </t>
  </si>
  <si>
    <t>2.2</t>
  </si>
  <si>
    <t>Закупка товаров, работ и услуг для обеспечения муниципальных нужд (КВР 200)</t>
  </si>
  <si>
    <t>2.3</t>
  </si>
  <si>
    <t xml:space="preserve">Социальное обеспечение и иные выплаты населению (КВР 300) </t>
  </si>
  <si>
    <t>2.4</t>
  </si>
  <si>
    <t xml:space="preserve">Капитальные вложения в объекты муниципальной собственности (КВР 400) </t>
  </si>
  <si>
    <t>2.5</t>
  </si>
  <si>
    <t>2.6</t>
  </si>
  <si>
    <t xml:space="preserve">Иные бюджетные ассигнования (КВР 800) </t>
  </si>
  <si>
    <t xml:space="preserve"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 </t>
  </si>
  <si>
    <t>Расходы на исполнение судебных актов (КВР 830)</t>
  </si>
  <si>
    <t>Расходы на уплату налогов, сборов и иных платежей (КВР 850)</t>
  </si>
  <si>
    <t>ИТОГО РАСХОДОВ</t>
  </si>
  <si>
    <t>Профицит (+)/дефицит (-)</t>
  </si>
  <si>
    <r>
      <rPr>
        <i/>
        <u/>
        <sz val="8"/>
        <rFont val="Times New Roman"/>
        <family val="1"/>
        <charset val="204"/>
      </rPr>
      <t xml:space="preserve">Справочно: </t>
    </r>
    <r>
      <rPr>
        <sz val="8"/>
        <rFont val="Times New Roman"/>
        <family val="1"/>
        <charset val="204"/>
      </rPr>
      <t>Профицит(+) /дефицит(-) в соответствии с отчетом об исполнении бюджета (месячный)</t>
    </r>
  </si>
  <si>
    <t>III</t>
  </si>
  <si>
    <t>Источники финансирования дефицита бюджета</t>
  </si>
  <si>
    <t>х</t>
  </si>
  <si>
    <t>3.1</t>
  </si>
  <si>
    <t>Изменение остатков бюджетных средств</t>
  </si>
  <si>
    <t>3.2</t>
  </si>
  <si>
    <t>Бюджетные кредиты полученные от других бюджетов бюджетной системы</t>
  </si>
  <si>
    <t xml:space="preserve">Привлечение кредитов </t>
  </si>
  <si>
    <t>Привлечение кредитов на пополнение остатков средств на счетах бюджетов</t>
  </si>
  <si>
    <t>Погашение кредитов</t>
  </si>
  <si>
    <t>Погашение кредитов на пополнение остатков средств на счетах бюджетов</t>
  </si>
  <si>
    <t>3.3</t>
  </si>
  <si>
    <t>Кредиты кредитных организаций</t>
  </si>
  <si>
    <t>Привлечение кредитов</t>
  </si>
  <si>
    <t>3.4</t>
  </si>
  <si>
    <t>Иные источники внутреннего финансирования дефицитов бюджетов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</si>
  <si>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</si>
  <si>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Исполнение муниципальных гарантий в валюте РФ</t>
  </si>
  <si>
    <t>Бюджетные кредиты, предоставленные внутри страны в валюте РФ</t>
  </si>
  <si>
    <t>IV.</t>
  </si>
  <si>
    <t>Остатки бюджетных средств на отчетную дату</t>
  </si>
  <si>
    <t>целевые</t>
  </si>
  <si>
    <t>нецелевые</t>
  </si>
  <si>
    <t>-за счет поступлений от юридических лиц для осуществления расходов в соответствии с заключенными соглашениями (договорами)</t>
  </si>
  <si>
    <t>V.</t>
  </si>
  <si>
    <t>Просроченная кредиторская задолженность - всего</t>
  </si>
  <si>
    <t>VI.</t>
  </si>
  <si>
    <t>Функциональная структура расходов</t>
  </si>
  <si>
    <t>Общегосударственные вопросы</t>
  </si>
  <si>
    <t>Национальная оборона</t>
  </si>
  <si>
    <t>Нац. безоп.и правоохр. деят-ть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</si>
  <si>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</si>
  <si>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</si>
  <si>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</si>
  <si>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</si>
  <si>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</si>
  <si>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</si>
  <si>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</si>
  <si>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</si>
  <si>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Средства массовой информации</t>
  </si>
  <si>
    <t>Обслуживание гос. и муниц.долга</t>
  </si>
  <si>
    <t>Межбюджетные трансферты</t>
  </si>
  <si>
    <t>Итого</t>
  </si>
  <si>
    <t>Проверка</t>
  </si>
  <si>
    <t>VII.</t>
  </si>
  <si>
    <t>Справочно:</t>
  </si>
  <si>
    <t>7.1</t>
  </si>
  <si>
    <t>Муниципальный дорожный фонд:</t>
  </si>
  <si>
    <t>Х</t>
  </si>
  <si>
    <t>- доходы</t>
  </si>
  <si>
    <t>- расходы</t>
  </si>
  <si>
    <t>7.2</t>
  </si>
  <si>
    <t>Муниципальный долг, в том числе</t>
  </si>
  <si>
    <t xml:space="preserve"> -бюджетные кредиты</t>
  </si>
  <si>
    <t xml:space="preserve"> -кредиты от кредитных организаций</t>
  </si>
  <si>
    <t xml:space="preserve"> -муниципальные гарантии</t>
  </si>
  <si>
    <t>7.3</t>
  </si>
  <si>
    <t>7.4</t>
  </si>
  <si>
    <t>Количество муниципальных учреждений, в т.ч.</t>
  </si>
  <si>
    <t xml:space="preserve"> -органов местного самоуправления</t>
  </si>
  <si>
    <t xml:space="preserve"> -казенных</t>
  </si>
  <si>
    <t xml:space="preserve"> -бюджетных</t>
  </si>
  <si>
    <t xml:space="preserve"> -автономных</t>
  </si>
  <si>
    <t>7.5</t>
  </si>
  <si>
    <t>Итого оплата труда и начисления на выплаты по оплате труда</t>
  </si>
  <si>
    <t>7.6</t>
  </si>
  <si>
    <t>Итого коммунальные услуги (подстатья КОСГУ 223)</t>
  </si>
  <si>
    <t>7.7</t>
  </si>
  <si>
    <t>7.8</t>
  </si>
  <si>
    <r>
      <rPr>
        <b/>
        <sz val="11"/>
        <rFont val="Times New Roman"/>
        <family val="1"/>
        <charset val="204"/>
      </rPr>
      <t xml:space="preserve">Объем предусмотренных средств на доплаты до МРОТ (с начислениями) </t>
    </r>
    <r>
      <rPr>
        <b/>
        <sz val="10"/>
        <rFont val="Times New Roman"/>
        <family val="1"/>
        <charset val="204"/>
      </rPr>
      <t xml:space="preserve">
*</t>
    </r>
    <r>
      <rPr>
        <sz val="10"/>
        <rFont val="Times New Roman"/>
        <family val="1"/>
        <charset val="204"/>
      </rPr>
      <t xml:space="preserve"> в графе «за счет целевых средств» отражаются расходы на доплаты  за счет средств субвенций из областного бюджета; 
*в графе «без целевых средств»  отражаются расходы местного бюджета на доплаты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 </t>
    </r>
  </si>
  <si>
    <r>
      <rPr>
        <b/>
        <sz val="11"/>
        <rFont val="Times New Roman"/>
        <family val="1"/>
        <charset val="204"/>
      </rPr>
      <t>Среднесписочная численность получателей доплат, человек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*в графе «за счет целевых средств» отражается численность получателей доплат за счет средств субвенций из областного бюджета; 
*в графе «без целевых средств»  отражается численность получателей доплат за счет средств местного бюджета с учетом средств субсидии из областного бюджета на софинансирование расходов, направляемых на оплату труда и начисления на выплаты по оплате труда работникам муниципальных учреждений.</t>
    </r>
  </si>
  <si>
    <t>за счет целевых средств</t>
  </si>
  <si>
    <t>1.6.6</t>
  </si>
  <si>
    <t>- за счет привлечения остатков средств бюджетных и автономных учреждений</t>
  </si>
  <si>
    <t>Итого штатных единиц:</t>
  </si>
  <si>
    <t>Штатные единицы в казенных учреждениях,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</si>
  <si>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органах местного самоуправления, ед. (исполнено -фактически замещенные без учета вакансий, план -  в соответствии с утвержденными штатными расписаниями)</t>
  </si>
  <si>
    <t>Штатные единицы в бюджетных учреждениях (исполнено -фактически замещенные без учета вакансий, план -  в соответствии с утвержденными штатными расписаниями)</t>
  </si>
  <si>
    <t>Штатные единицы в автономных учреждениях (исполнено -фактически замещенные без учета вакансий, план -  в соответствии с утвержденными штатными расписаниями)</t>
  </si>
  <si>
    <t>Темп роста к  исполнению 2022г. без ЦС</t>
  </si>
  <si>
    <t>2023 год (отчетный год)</t>
  </si>
  <si>
    <t>2024 год</t>
  </si>
  <si>
    <t>Темп роста к исполнению  2023 г. без ЦС</t>
  </si>
  <si>
    <t>- за счет остатков средств по муниципальному дорожному фонду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</si>
  <si>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</si>
  <si>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 xml:space="preserve">Итого капитальные вложения в объекты муниципальной собственности (КВР 400) </t>
  </si>
  <si>
    <t>Исполнитель   __________Н.А.Пикина</t>
  </si>
  <si>
    <t>зам.начальника финансового управления</t>
  </si>
  <si>
    <t>Паспорт муниципального образования Печенгский муниципальный округ по исполнению бюджета на "01" января 2025 года</t>
  </si>
  <si>
    <t>Исполнено за 2024 год</t>
  </si>
  <si>
    <t>Первоначальный план на 2025 год</t>
  </si>
  <si>
    <t>Ожидаемое исполнение за январь 2025 года</t>
  </si>
  <si>
    <t xml:space="preserve">"10"февраля 2025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</si>
</sst>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000"/>
  </numFmts>
  <fonts count="4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7"/>
      <name val="Times New Roman"/>
      <family val="1"/>
      <charset val="204"/>
    </font>
    <font>
      <b/>
      <sz val="10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7"/>
      <name val="Times New Roman"/>
      <family val="1"/>
      <charset val="204"/>
    </font>
    <font>
      <b/>
      <sz val="7"/>
      <color indexed="12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i/>
      <sz val="8"/>
      <name val="Times New Roman"/>
      <family val="1"/>
      <charset val="204"/>
    </font>
    <font>
      <i/>
      <u/>
      <sz val="8"/>
      <name val="Times New Roman"/>
      <family val="1"/>
      <charset val="204"/>
    </font>
    <font>
      <i/>
      <sz val="8"/>
      <color indexed="17"/>
      <name val="Times New Roman"/>
      <family val="1"/>
      <charset val="204"/>
    </font>
    <font>
      <b/>
      <sz val="8"/>
      <color indexed="17"/>
      <name val="Times New Roman"/>
      <family val="1"/>
      <charset val="204"/>
    </font>
    <font>
      <i/>
      <sz val="8"/>
      <color indexed="12"/>
      <name val="Times New Roman"/>
      <family val="1"/>
      <charset val="204"/>
    </font>
    <font>
      <b/>
      <sz val="10"/>
      <color theme="6" tint="-0.249977111117893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7"/>
      <color indexed="12"/>
      <name val="Times New Roman"/>
      <family val="1"/>
      <charset val="204"/>
    </font>
    <font>
      <i/>
      <sz val="7"/>
      <color indexed="12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color indexed="17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B05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6E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5">
    <xf numFmtId="0" fontId="0" fillId="0" borderId="0" xfId="0"/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NumberFormat="1" applyFont="1" applyFill="1" applyAlignment="1" applyProtection="1">
      <alignment wrapText="1"/>
      <protection locked="0"/>
    </xf>
    <xf numFmtId="0" fontId="4" fillId="0" borderId="0" xfId="0" applyFont="1" applyFill="1" applyBorder="1" applyAlignment="1" applyProtection="1">
      <alignment vertical="top" wrapText="1"/>
      <protection locked="0"/>
    </xf>
    <xf numFmtId="0" fontId="5" fillId="0" borderId="0" xfId="0" applyFont="1" applyFill="1" applyBorder="1" applyAlignment="1" applyProtection="1">
      <alignment vertical="top" wrapText="1"/>
      <protection locked="0"/>
    </xf>
    <xf numFmtId="164" fontId="4" fillId="0" borderId="0" xfId="0" applyNumberFormat="1" applyFont="1" applyFill="1" applyBorder="1" applyAlignment="1" applyProtection="1">
      <alignment vertical="top" wrapText="1"/>
      <protection locked="0"/>
    </xf>
    <xf numFmtId="0" fontId="11" fillId="0" borderId="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13" fillId="3" borderId="3" xfId="0" applyNumberFormat="1" applyFont="1" applyFill="1" applyBorder="1" applyAlignment="1" applyProtection="1">
      <alignment horizontal="left" wrapText="1"/>
    </xf>
    <xf numFmtId="49" fontId="6" fillId="3" borderId="3" xfId="0" applyNumberFormat="1" applyFont="1" applyFill="1" applyBorder="1" applyAlignment="1" applyProtection="1">
      <alignment horizontal="justify" wrapText="1"/>
    </xf>
    <xf numFmtId="3" fontId="6" fillId="3" borderId="3" xfId="0" applyNumberFormat="1" applyFont="1" applyFill="1" applyBorder="1" applyAlignment="1" applyProtection="1">
      <alignment horizontal="center" vertical="center" wrapText="1"/>
    </xf>
    <xf numFmtId="164" fontId="12" fillId="3" borderId="3" xfId="1" applyNumberFormat="1" applyFont="1" applyFill="1" applyBorder="1" applyAlignment="1" applyProtection="1">
      <alignment horizontal="center" vertical="center" wrapText="1"/>
    </xf>
    <xf numFmtId="49" fontId="13" fillId="0" borderId="3" xfId="0" applyNumberFormat="1" applyFont="1" applyFill="1" applyBorder="1" applyAlignment="1" applyProtection="1">
      <alignment horizontal="left" wrapText="1"/>
    </xf>
    <xf numFmtId="49" fontId="14" fillId="0" borderId="3" xfId="0" applyNumberFormat="1" applyFont="1" applyFill="1" applyBorder="1" applyAlignment="1" applyProtection="1">
      <alignment horizontal="justify" wrapText="1"/>
    </xf>
    <xf numFmtId="3" fontId="14" fillId="0" borderId="3" xfId="0" applyNumberFormat="1" applyFont="1" applyFill="1" applyBorder="1" applyAlignment="1" applyProtection="1">
      <alignment horizontal="center" vertical="center" wrapText="1"/>
    </xf>
    <xf numFmtId="3" fontId="6" fillId="2" borderId="3" xfId="0" applyNumberFormat="1" applyFont="1" applyFill="1" applyBorder="1" applyAlignment="1" applyProtection="1">
      <alignment horizontal="center" vertical="center" wrapText="1"/>
    </xf>
    <xf numFmtId="164" fontId="12" fillId="2" borderId="3" xfId="1" applyNumberFormat="1" applyFont="1" applyFill="1" applyBorder="1" applyAlignment="1" applyProtection="1">
      <alignment horizontal="center" vertical="center" wrapText="1"/>
    </xf>
    <xf numFmtId="49" fontId="15" fillId="0" borderId="3" xfId="0" applyNumberFormat="1" applyFont="1" applyFill="1" applyBorder="1" applyAlignment="1" applyProtection="1">
      <alignment horizontal="left" wrapText="1"/>
    </xf>
    <xf numFmtId="49" fontId="16" fillId="0" borderId="3" xfId="0" applyNumberFormat="1" applyFont="1" applyFill="1" applyBorder="1" applyAlignment="1" applyProtection="1">
      <alignment horizontal="justify" wrapText="1"/>
    </xf>
    <xf numFmtId="3" fontId="16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left" wrapText="1"/>
    </xf>
    <xf numFmtId="49" fontId="18" fillId="0" borderId="3" xfId="0" applyNumberFormat="1" applyFont="1" applyFill="1" applyBorder="1" applyAlignment="1" applyProtection="1">
      <alignment horizontal="justify" wrapText="1"/>
    </xf>
    <xf numFmtId="3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 wrapText="1"/>
    </xf>
    <xf numFmtId="3" fontId="18" fillId="2" borderId="3" xfId="0" applyNumberFormat="1" applyFont="1" applyFill="1" applyBorder="1" applyAlignment="1" applyProtection="1">
      <alignment horizontal="center" vertical="center" wrapText="1"/>
    </xf>
    <xf numFmtId="3" fontId="16" fillId="0" borderId="3" xfId="0" applyNumberFormat="1" applyFont="1" applyFill="1" applyBorder="1" applyAlignment="1" applyProtection="1">
      <alignment horizontal="center" vertical="center" wrapText="1"/>
    </xf>
    <xf numFmtId="3" fontId="14" fillId="2" borderId="3" xfId="0" applyNumberFormat="1" applyFont="1" applyFill="1" applyBorder="1" applyAlignment="1" applyProtection="1">
      <alignment horizontal="center" vertical="center" wrapText="1"/>
    </xf>
    <xf numFmtId="164" fontId="17" fillId="2" borderId="3" xfId="1" applyNumberFormat="1" applyFont="1" applyFill="1" applyBorder="1" applyAlignment="1" applyProtection="1">
      <alignment horizontal="center" vertical="center" wrapText="1"/>
    </xf>
    <xf numFmtId="49" fontId="18" fillId="0" borderId="3" xfId="0" applyNumberFormat="1" applyFont="1" applyFill="1" applyBorder="1" applyAlignment="1" applyProtection="1">
      <alignment horizontal="justify" vertical="center" wrapText="1"/>
    </xf>
    <xf numFmtId="49" fontId="19" fillId="0" borderId="3" xfId="0" applyNumberFormat="1" applyFont="1" applyFill="1" applyBorder="1" applyAlignment="1" applyProtection="1">
      <alignment horizontal="left" wrapText="1"/>
    </xf>
    <xf numFmtId="49" fontId="19" fillId="2" borderId="3" xfId="0" applyNumberFormat="1" applyFont="1" applyFill="1" applyBorder="1" applyAlignment="1" applyProtection="1">
      <alignment horizontal="justify" wrapText="1"/>
    </xf>
    <xf numFmtId="3" fontId="19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3" xfId="0" applyNumberFormat="1" applyFont="1" applyFill="1" applyBorder="1" applyAlignment="1" applyProtection="1">
      <alignment horizontal="center" vertical="center" wrapText="1"/>
    </xf>
    <xf numFmtId="164" fontId="21" fillId="2" borderId="3" xfId="1" applyNumberFormat="1" applyFont="1" applyFill="1" applyBorder="1" applyAlignment="1" applyProtection="1">
      <alignment horizontal="center" vertical="center" wrapText="1"/>
    </xf>
    <xf numFmtId="49" fontId="22" fillId="0" borderId="3" xfId="0" applyNumberFormat="1" applyFont="1" applyFill="1" applyBorder="1" applyAlignment="1" applyProtection="1">
      <alignment horizontal="left" wrapText="1"/>
    </xf>
    <xf numFmtId="3" fontId="6" fillId="0" borderId="3" xfId="0" applyNumberFormat="1" applyFont="1" applyFill="1" applyBorder="1" applyAlignment="1" applyProtection="1">
      <alignment horizontal="center" vertical="center" wrapText="1"/>
    </xf>
    <xf numFmtId="3" fontId="13" fillId="2" borderId="3" xfId="0" applyNumberFormat="1" applyFont="1" applyFill="1" applyBorder="1" applyAlignment="1" applyProtection="1">
      <alignment horizontal="left" wrapText="1"/>
    </xf>
    <xf numFmtId="49" fontId="6" fillId="2" borderId="3" xfId="0" applyNumberFormat="1" applyFont="1" applyFill="1" applyBorder="1" applyAlignment="1" applyProtection="1">
      <alignment horizontal="justify" wrapText="1"/>
    </xf>
    <xf numFmtId="3" fontId="13" fillId="4" borderId="3" xfId="0" applyNumberFormat="1" applyFont="1" applyFill="1" applyBorder="1" applyAlignment="1" applyProtection="1">
      <alignment horizontal="left" wrapText="1"/>
    </xf>
    <xf numFmtId="49" fontId="23" fillId="4" borderId="3" xfId="0" applyNumberFormat="1" applyFont="1" applyFill="1" applyBorder="1" applyAlignment="1" applyProtection="1">
      <alignment horizontal="justify" wrapText="1"/>
    </xf>
    <xf numFmtId="3" fontId="7" fillId="4" borderId="3" xfId="0" applyNumberFormat="1" applyFont="1" applyFill="1" applyBorder="1" applyAlignment="1" applyProtection="1">
      <alignment horizontal="center" vertical="center" wrapText="1"/>
    </xf>
    <xf numFmtId="3" fontId="6" fillId="4" borderId="3" xfId="0" applyNumberFormat="1" applyFont="1" applyFill="1" applyBorder="1" applyAlignment="1" applyProtection="1">
      <alignment horizontal="center" vertical="center" wrapText="1"/>
    </xf>
    <xf numFmtId="164" fontId="12" fillId="4" borderId="3" xfId="1" applyNumberFormat="1" applyFont="1" applyFill="1" applyBorder="1" applyAlignment="1" applyProtection="1">
      <alignment horizontal="center" vertical="center" wrapText="1"/>
    </xf>
    <xf numFmtId="3" fontId="13" fillId="5" borderId="3" xfId="0" applyNumberFormat="1" applyFont="1" applyFill="1" applyBorder="1" applyAlignment="1" applyProtection="1">
      <alignment horizontal="left" wrapText="1"/>
    </xf>
    <xf numFmtId="49" fontId="23" fillId="0" borderId="3" xfId="0" applyNumberFormat="1" applyFont="1" applyFill="1" applyBorder="1" applyAlignment="1" applyProtection="1">
      <alignment horizont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164" fontId="12" fillId="0" borderId="3" xfId="1" applyNumberFormat="1" applyFont="1" applyFill="1" applyBorder="1" applyAlignment="1" applyProtection="1">
      <alignment horizontal="center" vertical="center" wrapText="1"/>
    </xf>
    <xf numFmtId="49" fontId="2" fillId="5" borderId="3" xfId="0" applyNumberFormat="1" applyFont="1" applyFill="1" applyBorder="1" applyAlignment="1" applyProtection="1">
      <alignment horizontal="left" wrapText="1"/>
    </xf>
    <xf numFmtId="49" fontId="19" fillId="5" borderId="3" xfId="0" applyNumberFormat="1" applyFont="1" applyFill="1" applyBorder="1" applyAlignment="1" applyProtection="1">
      <alignment horizontal="left" wrapText="1"/>
    </xf>
    <xf numFmtId="49" fontId="19" fillId="0" borderId="3" xfId="0" applyNumberFormat="1" applyFont="1" applyFill="1" applyBorder="1" applyAlignment="1" applyProtection="1">
      <alignment horizontal="justify" vertical="center" wrapText="1"/>
    </xf>
    <xf numFmtId="3" fontId="20" fillId="0" borderId="3" xfId="0" applyNumberFormat="1" applyFont="1" applyFill="1" applyBorder="1" applyAlignment="1" applyProtection="1">
      <alignment horizontal="center" vertical="center" wrapText="1"/>
    </xf>
    <xf numFmtId="164" fontId="21" fillId="0" borderId="3" xfId="1" applyNumberFormat="1" applyFont="1" applyFill="1" applyBorder="1" applyAlignment="1" applyProtection="1">
      <alignment horizontal="center" vertical="center" wrapText="1"/>
    </xf>
    <xf numFmtId="49" fontId="23" fillId="6" borderId="3" xfId="0" applyNumberFormat="1" applyFont="1" applyFill="1" applyBorder="1" applyAlignment="1" applyProtection="1">
      <alignment horizontal="justify" vertical="center" wrapText="1"/>
    </xf>
    <xf numFmtId="3" fontId="6" fillId="6" borderId="3" xfId="0" applyNumberFormat="1" applyFont="1" applyFill="1" applyBorder="1" applyAlignment="1" applyProtection="1">
      <alignment horizontal="center" vertical="center" wrapText="1"/>
    </xf>
    <xf numFmtId="3" fontId="7" fillId="6" borderId="3" xfId="0" applyNumberFormat="1" applyFont="1" applyFill="1" applyBorder="1" applyAlignment="1" applyProtection="1">
      <alignment horizontal="center" vertical="center" wrapText="1"/>
    </xf>
    <xf numFmtId="164" fontId="8" fillId="6" borderId="3" xfId="1" applyNumberFormat="1" applyFont="1" applyFill="1" applyBorder="1" applyAlignment="1" applyProtection="1">
      <alignment horizontal="center" vertical="center" wrapText="1"/>
    </xf>
    <xf numFmtId="164" fontId="12" fillId="6" borderId="3" xfId="1" applyNumberFormat="1" applyFont="1" applyFill="1" applyBorder="1" applyAlignment="1" applyProtection="1">
      <alignment horizontal="center" vertical="center" wrapText="1"/>
    </xf>
    <xf numFmtId="49" fontId="16" fillId="6" borderId="3" xfId="0" applyNumberFormat="1" applyFont="1" applyFill="1" applyBorder="1" applyAlignment="1" applyProtection="1">
      <alignment horizontal="justify" vertical="center" wrapText="1"/>
    </xf>
    <xf numFmtId="3" fontId="16" fillId="6" borderId="3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3" xfId="0" applyNumberFormat="1" applyFont="1" applyFill="1" applyBorder="1" applyAlignment="1" applyProtection="1">
      <alignment horizontal="center" vertical="center" wrapText="1"/>
    </xf>
    <xf numFmtId="164" fontId="17" fillId="6" borderId="3" xfId="1" applyNumberFormat="1" applyFont="1" applyFill="1" applyBorder="1" applyAlignment="1" applyProtection="1">
      <alignment horizontal="center" vertical="center" wrapText="1"/>
    </xf>
    <xf numFmtId="49" fontId="23" fillId="0" borderId="3" xfId="0" applyNumberFormat="1" applyFont="1" applyFill="1" applyBorder="1" applyAlignment="1" applyProtection="1">
      <alignment horizontal="center" vertical="center" wrapText="1"/>
    </xf>
    <xf numFmtId="3" fontId="25" fillId="3" borderId="3" xfId="0" applyNumberFormat="1" applyFont="1" applyFill="1" applyBorder="1" applyAlignment="1" applyProtection="1">
      <alignment horizontal="left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49" fontId="26" fillId="2" borderId="3" xfId="0" applyNumberFormat="1" applyFont="1" applyFill="1" applyBorder="1" applyAlignment="1" applyProtection="1">
      <alignment horizontal="justify" wrapText="1"/>
    </xf>
    <xf numFmtId="3" fontId="7" fillId="2" borderId="3" xfId="0" applyNumberFormat="1" applyFont="1" applyFill="1" applyBorder="1" applyAlignment="1" applyProtection="1">
      <alignment horizontal="center" vertical="center" wrapText="1"/>
    </xf>
    <xf numFmtId="3" fontId="29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3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3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justify" wrapText="1"/>
    </xf>
    <xf numFmtId="0" fontId="18" fillId="0" borderId="3" xfId="0" applyNumberFormat="1" applyFont="1" applyFill="1" applyBorder="1" applyAlignment="1" applyProtection="1">
      <alignment horizontal="justify" vertical="center" wrapText="1"/>
    </xf>
    <xf numFmtId="3" fontId="13" fillId="0" borderId="3" xfId="0" applyNumberFormat="1" applyFont="1" applyFill="1" applyBorder="1" applyAlignment="1" applyProtection="1">
      <alignment horizontal="left" wrapText="1"/>
    </xf>
    <xf numFmtId="49" fontId="6" fillId="0" borderId="3" xfId="0" applyNumberFormat="1" applyFont="1" applyFill="1" applyBorder="1" applyAlignment="1" applyProtection="1">
      <alignment horizontal="justify" vertical="center" wrapText="1"/>
    </xf>
    <xf numFmtId="3" fontId="34" fillId="0" borderId="3" xfId="0" applyNumberFormat="1" applyFont="1" applyFill="1" applyBorder="1" applyAlignment="1" applyProtection="1">
      <alignment horizontal="left" wrapText="1"/>
    </xf>
    <xf numFmtId="3" fontId="35" fillId="0" borderId="3" xfId="0" applyNumberFormat="1" applyFont="1" applyFill="1" applyBorder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justify" wrapText="1"/>
    </xf>
    <xf numFmtId="0" fontId="2" fillId="0" borderId="3" xfId="0" applyFont="1" applyFill="1" applyBorder="1" applyAlignment="1" applyProtection="1">
      <alignment horizontal="left" wrapText="1"/>
    </xf>
    <xf numFmtId="3" fontId="36" fillId="0" borderId="3" xfId="0" applyNumberFormat="1" applyFont="1" applyFill="1" applyBorder="1" applyAlignment="1" applyProtection="1">
      <alignment horizontal="justify" vertical="center" wrapText="1"/>
    </xf>
    <xf numFmtId="3" fontId="36" fillId="0" borderId="6" xfId="0" applyNumberFormat="1" applyFont="1" applyFill="1" applyBorder="1" applyAlignment="1" applyProtection="1">
      <alignment horizontal="justify" vertical="center" wrapText="1"/>
    </xf>
    <xf numFmtId="0" fontId="3" fillId="0" borderId="6" xfId="0" applyNumberFormat="1" applyFont="1" applyFill="1" applyBorder="1" applyAlignment="1" applyProtection="1">
      <alignment horizontal="justify" wrapText="1"/>
    </xf>
    <xf numFmtId="0" fontId="6" fillId="0" borderId="6" xfId="0" applyNumberFormat="1" applyFont="1" applyFill="1" applyBorder="1" applyAlignment="1" applyProtection="1">
      <alignment horizontal="justify" wrapText="1"/>
    </xf>
    <xf numFmtId="49" fontId="19" fillId="0" borderId="3" xfId="0" applyNumberFormat="1" applyFont="1" applyFill="1" applyBorder="1" applyAlignment="1" applyProtection="1">
      <alignment horizontal="justify" wrapText="1"/>
    </xf>
    <xf numFmtId="0" fontId="18" fillId="0" borderId="6" xfId="0" applyNumberFormat="1" applyFont="1" applyFill="1" applyBorder="1" applyAlignment="1" applyProtection="1">
      <alignment horizontal="justify" wrapText="1"/>
    </xf>
    <xf numFmtId="0" fontId="18" fillId="2" borderId="6" xfId="0" applyNumberFormat="1" applyFont="1" applyFill="1" applyBorder="1" applyAlignment="1" applyProtection="1">
      <alignment horizontal="justify" vertical="center" wrapText="1"/>
    </xf>
    <xf numFmtId="0" fontId="18" fillId="0" borderId="6" xfId="0" applyNumberFormat="1" applyFont="1" applyFill="1" applyBorder="1" applyAlignment="1" applyProtection="1">
      <alignment horizontal="justify" vertical="center" wrapText="1"/>
    </xf>
    <xf numFmtId="49" fontId="13" fillId="7" borderId="3" xfId="0" applyNumberFormat="1" applyFont="1" applyFill="1" applyBorder="1" applyAlignment="1" applyProtection="1">
      <alignment horizontal="left" wrapText="1"/>
      <protection locked="0"/>
    </xf>
    <xf numFmtId="164" fontId="6" fillId="7" borderId="3" xfId="1" applyNumberFormat="1" applyFont="1" applyFill="1" applyBorder="1" applyAlignment="1" applyProtection="1">
      <alignment horizontal="center" vertical="center" wrapText="1"/>
      <protection locked="0"/>
    </xf>
    <xf numFmtId="164" fontId="18" fillId="7" borderId="3" xfId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Protection="1">
      <protection locked="0"/>
    </xf>
    <xf numFmtId="0" fontId="37" fillId="0" borderId="0" xfId="0" applyNumberFormat="1" applyFont="1" applyFill="1" applyBorder="1" applyAlignment="1" applyProtection="1">
      <alignment wrapText="1"/>
      <protection locked="0"/>
    </xf>
    <xf numFmtId="0" fontId="37" fillId="2" borderId="0" xfId="0" applyNumberFormat="1" applyFont="1" applyFill="1" applyBorder="1" applyAlignment="1" applyProtection="1">
      <alignment wrapText="1"/>
      <protection locked="0"/>
    </xf>
    <xf numFmtId="0" fontId="38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164" fontId="5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wrapText="1"/>
      <protection locked="0"/>
    </xf>
    <xf numFmtId="0" fontId="3" fillId="0" borderId="0" xfId="0" applyNumberFormat="1" applyFont="1" applyFill="1" applyBorder="1" applyAlignment="1" applyProtection="1">
      <alignment wrapText="1"/>
      <protection locked="0"/>
    </xf>
    <xf numFmtId="0" fontId="3" fillId="2" borderId="0" xfId="0" applyNumberFormat="1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49" fontId="18" fillId="0" borderId="0" xfId="0" applyNumberFormat="1" applyFont="1" applyFill="1" applyBorder="1" applyAlignment="1" applyProtection="1">
      <alignment horizontal="justify" vertical="center" wrapText="1"/>
      <protection locked="0"/>
    </xf>
    <xf numFmtId="3" fontId="18" fillId="0" borderId="0" xfId="0" applyNumberFormat="1" applyFont="1" applyFill="1" applyBorder="1" applyAlignment="1" applyProtection="1">
      <alignment wrapText="1"/>
      <protection locked="0"/>
    </xf>
    <xf numFmtId="3" fontId="6" fillId="0" borderId="0" xfId="0" applyNumberFormat="1" applyFont="1" applyFill="1" applyBorder="1" applyAlignment="1" applyProtection="1">
      <alignment wrapText="1"/>
      <protection locked="0"/>
    </xf>
    <xf numFmtId="164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left" wrapText="1"/>
      <protection locked="0"/>
    </xf>
    <xf numFmtId="49" fontId="27" fillId="0" borderId="3" xfId="0" applyNumberFormat="1" applyFont="1" applyFill="1" applyBorder="1" applyAlignment="1" applyProtection="1">
      <alignment horizontal="justify" vertical="center" wrapText="1"/>
      <protection locked="0"/>
    </xf>
    <xf numFmtId="0" fontId="6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18" fillId="7" borderId="3" xfId="0" applyNumberFormat="1" applyFont="1" applyFill="1" applyBorder="1" applyAlignment="1" applyProtection="1">
      <alignment horizontal="justify" vertical="center" wrapText="1"/>
      <protection locked="0"/>
    </xf>
    <xf numFmtId="0" fontId="0" fillId="0" borderId="0" xfId="0" applyFill="1"/>
    <xf numFmtId="0" fontId="0" fillId="0" borderId="0" xfId="0" applyProtection="1"/>
    <xf numFmtId="3" fontId="8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24" fillId="6" borderId="3" xfId="0" applyNumberFormat="1" applyFont="1" applyFill="1" applyBorder="1" applyAlignment="1" applyProtection="1">
      <alignment horizontal="center" vertical="center"/>
      <protection locked="0"/>
    </xf>
    <xf numFmtId="3" fontId="11" fillId="0" borderId="3" xfId="0" applyNumberFormat="1" applyFont="1" applyFill="1" applyBorder="1" applyAlignment="1" applyProtection="1">
      <alignment horizontal="center" vertical="center"/>
      <protection locked="0"/>
    </xf>
    <xf numFmtId="3" fontId="29" fillId="0" borderId="3" xfId="0" applyNumberFormat="1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2" fillId="0" borderId="3" xfId="0" applyNumberFormat="1" applyFont="1" applyFill="1" applyBorder="1" applyAlignment="1" applyProtection="1">
      <alignment horizontal="center" vertical="center" wrapText="1"/>
    </xf>
    <xf numFmtId="3" fontId="33" fillId="0" borderId="3" xfId="0" applyNumberFormat="1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33" fillId="2" borderId="3" xfId="0" applyNumberFormat="1" applyFont="1" applyFill="1" applyBorder="1" applyAlignment="1" applyProtection="1">
      <alignment horizontal="center" vertical="center" wrapText="1"/>
    </xf>
    <xf numFmtId="3" fontId="12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3" xfId="0" applyNumberFormat="1" applyFont="1" applyFill="1" applyBorder="1" applyAlignment="1" applyProtection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 wrapText="1"/>
    </xf>
    <xf numFmtId="3" fontId="0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3" fontId="0" fillId="0" borderId="3" xfId="0" applyNumberFormat="1" applyFont="1" applyBorder="1" applyAlignment="1" applyProtection="1">
      <alignment horizontal="center" vertical="center" wrapText="1"/>
      <protection locked="0"/>
    </xf>
    <xf numFmtId="3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0" borderId="3" xfId="0" applyNumberFormat="1" applyFont="1" applyFill="1" applyBorder="1" applyAlignment="1" applyProtection="1">
      <alignment horizontal="center" vertical="center"/>
      <protection locked="0"/>
    </xf>
    <xf numFmtId="3" fontId="3" fillId="0" borderId="3" xfId="0" applyNumberFormat="1" applyFont="1" applyFill="1" applyBorder="1" applyAlignment="1" applyProtection="1">
      <alignment horizontal="center" vertical="center" wrapText="1"/>
    </xf>
    <xf numFmtId="164" fontId="18" fillId="0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</xf>
    <xf numFmtId="3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18" fillId="7" borderId="3" xfId="0" applyNumberFormat="1" applyFont="1" applyFill="1" applyBorder="1" applyAlignment="1" applyProtection="1">
      <alignment horizontal="center" vertical="center" wrapText="1"/>
      <protection locked="0"/>
    </xf>
    <xf numFmtId="3" fontId="11" fillId="0" borderId="3" xfId="0" applyNumberFormat="1" applyFont="1" applyFill="1" applyBorder="1" applyAlignment="1" applyProtection="1">
      <alignment vertical="center" wrapText="1"/>
      <protection locked="0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5" fontId="6" fillId="0" borderId="3" xfId="0" applyNumberFormat="1" applyFont="1" applyFill="1" applyBorder="1" applyAlignment="1" applyProtection="1">
      <alignment horizontal="center" vertical="center" wrapText="1"/>
    </xf>
    <xf numFmtId="165" fontId="18" fillId="0" borderId="3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>
      <alignment horizontal="center" wrapText="1"/>
      <protection locked="0"/>
    </xf>
    <xf numFmtId="3" fontId="0" fillId="0" borderId="0" xfId="0" applyNumberFormat="1" applyProtection="1">
      <protection locked="0"/>
    </xf>
    <xf numFmtId="3" fontId="0" fillId="0" borderId="0" xfId="0" applyNumberFormat="1"/>
    <xf numFmtId="3" fontId="37" fillId="0" borderId="0" xfId="0" applyNumberFormat="1" applyFont="1" applyFill="1" applyBorder="1" applyAlignment="1" applyProtection="1">
      <alignment wrapText="1"/>
      <protection locked="0"/>
    </xf>
    <xf numFmtId="3" fontId="3" fillId="0" borderId="0" xfId="0" applyNumberFormat="1" applyFont="1" applyFill="1" applyBorder="1" applyAlignment="1" applyProtection="1">
      <alignment wrapText="1"/>
      <protection locked="0"/>
    </xf>
    <xf numFmtId="3" fontId="6" fillId="7" borderId="3" xfId="0" applyNumberFormat="1" applyFont="1" applyFill="1" applyBorder="1" applyAlignment="1" applyProtection="1">
      <alignment vertical="center" wrapText="1"/>
      <protection locked="0"/>
    </xf>
    <xf numFmtId="3" fontId="18" fillId="0" borderId="3" xfId="0" applyNumberFormat="1" applyFont="1" applyFill="1" applyBorder="1" applyAlignment="1" applyProtection="1">
      <alignment vertical="center" wrapText="1"/>
      <protection locked="0"/>
    </xf>
    <xf numFmtId="3" fontId="8" fillId="0" borderId="2" xfId="0" applyNumberFormat="1" applyFont="1" applyFill="1" applyBorder="1" applyAlignment="1" applyProtection="1">
      <alignment horizontal="center" vertical="center" wrapText="1"/>
    </xf>
    <xf numFmtId="3" fontId="8" fillId="0" borderId="11" xfId="0" applyNumberFormat="1" applyFont="1" applyFill="1" applyBorder="1" applyAlignment="1" applyProtection="1">
      <alignment horizontal="center" vertical="center" wrapText="1"/>
    </xf>
    <xf numFmtId="3" fontId="8" fillId="0" borderId="4" xfId="0" applyNumberFormat="1" applyFont="1" applyFill="1" applyBorder="1" applyAlignment="1" applyProtection="1">
      <alignment horizontal="center" vertical="center" wrapText="1"/>
    </xf>
    <xf numFmtId="3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8" fillId="0" borderId="3" xfId="0" applyNumberFormat="1" applyFont="1" applyFill="1" applyBorder="1" applyAlignment="1" applyProtection="1">
      <alignment horizontal="center" vertical="center" wrapText="1"/>
    </xf>
    <xf numFmtId="164" fontId="9" fillId="0" borderId="3" xfId="0" applyNumberFormat="1" applyFont="1" applyFill="1" applyBorder="1" applyAlignment="1" applyProtection="1">
      <alignment horizontal="center" vertical="center" wrapText="1"/>
    </xf>
    <xf numFmtId="164" fontId="10" fillId="0" borderId="3" xfId="0" applyNumberFormat="1" applyFont="1" applyFill="1" applyBorder="1" applyProtection="1"/>
    <xf numFmtId="3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3" fontId="7" fillId="0" borderId="3" xfId="0" applyNumberFormat="1" applyFont="1" applyFill="1" applyBorder="1" applyAlignment="1" applyProtection="1">
      <alignment horizontal="center" vertical="center" wrapText="1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0" borderId="9" xfId="0" applyNumberFormat="1" applyFont="1" applyFill="1" applyBorder="1" applyAlignment="1" applyProtection="1">
      <alignment horizontal="center" vertical="center" wrapText="1"/>
    </xf>
    <xf numFmtId="3" fontId="8" fillId="0" borderId="10" xfId="0" applyNumberFormat="1" applyFont="1" applyFill="1" applyBorder="1" applyAlignment="1" applyProtection="1">
      <alignment horizontal="center" vertical="center" wrapText="1"/>
    </xf>
    <xf numFmtId="3" fontId="16" fillId="6" borderId="3" xfId="0" applyNumberFormat="1" applyFont="1" applyFill="1" applyBorder="1" applyAlignment="1" applyProtection="1">
      <alignment horizontal="center" vertical="center"/>
      <protection locked="0"/>
    </xf>
    <xf numFmtId="3" fontId="40" fillId="0" borderId="3" xfId="0" applyNumberFormat="1" applyFont="1" applyFill="1" applyBorder="1" applyAlignment="1" applyProtection="1">
      <alignment vertical="center" wrapText="1"/>
      <protection locked="0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view="pageBreakPreview" zoomScale="85" zoomScaleNormal="100" zoomScaleSheetLayoutView="85" workbookViewId="0">
      <pane xSplit="2" ySplit="6" topLeftCell="E172" activePane="bottomRight" state="frozen"/>
      <selection pane="topRight" activeCell="C1" sqref="C1"/>
      <selection pane="bottomLeft" activeCell="A7" sqref="A7"/>
      <selection pane="bottomRight" activeCell="B177" sqref="B177"/>
    </sheetView>
  </sheetViews>
  <sheetFormatPr defaultRowHeight="15" x14ac:dyDescent="0.25"/>
  <cols>
    <col min="1" max="1" width="4" customWidth="1"/>
    <col min="2" max="2" width="39.28515625" customWidth="1"/>
    <col min="3" max="3" width="12.85546875" style="154" customWidth="1"/>
    <col min="4" max="4" width="12.42578125" customWidth="1"/>
    <col min="5" max="5" width="14.140625" customWidth="1"/>
    <col min="6" max="11" width="12.42578125" customWidth="1"/>
    <col min="13" max="13" width="14.42578125" style="154" customWidth="1"/>
    <col min="14" max="20" width="11" customWidth="1"/>
    <col min="21" max="21" width="14.7109375" customWidth="1"/>
  </cols>
  <sheetData>
    <row r="1" spans="1:22" ht="18.75" x14ac:dyDescent="0.25">
      <c r="A1" s="1"/>
      <c r="B1" s="2"/>
      <c r="C1" s="170" t="s">
        <v>224</v>
      </c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3"/>
      <c r="T1" s="4" t="s">
        <v>0</v>
      </c>
      <c r="U1" s="3"/>
      <c r="V1" s="5"/>
    </row>
    <row r="2" spans="1:22" x14ac:dyDescent="0.25">
      <c r="A2" s="171" t="s">
        <v>1</v>
      </c>
      <c r="B2" s="174" t="s">
        <v>2</v>
      </c>
      <c r="C2" s="175" t="s">
        <v>216</v>
      </c>
      <c r="D2" s="176"/>
      <c r="E2" s="176"/>
      <c r="F2" s="175" t="s">
        <v>217</v>
      </c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7"/>
    </row>
    <row r="3" spans="1:22" ht="24" customHeight="1" x14ac:dyDescent="0.25">
      <c r="A3" s="172"/>
      <c r="B3" s="174"/>
      <c r="C3" s="178" t="s">
        <v>3</v>
      </c>
      <c r="D3" s="178"/>
      <c r="E3" s="178"/>
      <c r="F3" s="164" t="s">
        <v>4</v>
      </c>
      <c r="G3" s="164"/>
      <c r="H3" s="164"/>
      <c r="I3" s="164" t="s">
        <v>5</v>
      </c>
      <c r="J3" s="164"/>
      <c r="K3" s="164"/>
      <c r="L3" s="165" t="s">
        <v>215</v>
      </c>
      <c r="M3" s="167" t="s">
        <v>225</v>
      </c>
      <c r="N3" s="168"/>
      <c r="O3" s="169"/>
      <c r="P3" s="164" t="s">
        <v>226</v>
      </c>
      <c r="Q3" s="164"/>
      <c r="R3" s="164"/>
      <c r="S3" s="180" t="s">
        <v>227</v>
      </c>
      <c r="T3" s="181"/>
      <c r="U3" s="182"/>
      <c r="V3" s="165" t="s">
        <v>218</v>
      </c>
    </row>
    <row r="4" spans="1:22" ht="15" customHeight="1" x14ac:dyDescent="0.25">
      <c r="A4" s="172"/>
      <c r="B4" s="174"/>
      <c r="C4" s="179" t="s">
        <v>6</v>
      </c>
      <c r="D4" s="178" t="s">
        <v>7</v>
      </c>
      <c r="E4" s="178"/>
      <c r="F4" s="163" t="s">
        <v>6</v>
      </c>
      <c r="G4" s="164" t="s">
        <v>7</v>
      </c>
      <c r="H4" s="164"/>
      <c r="I4" s="163" t="s">
        <v>6</v>
      </c>
      <c r="J4" s="164" t="s">
        <v>7</v>
      </c>
      <c r="K4" s="164"/>
      <c r="L4" s="166"/>
      <c r="M4" s="159" t="s">
        <v>6</v>
      </c>
      <c r="N4" s="161" t="s">
        <v>8</v>
      </c>
      <c r="O4" s="162"/>
      <c r="P4" s="159" t="s">
        <v>6</v>
      </c>
      <c r="Q4" s="161" t="s">
        <v>8</v>
      </c>
      <c r="R4" s="162"/>
      <c r="S4" s="159" t="s">
        <v>6</v>
      </c>
      <c r="T4" s="161" t="s">
        <v>8</v>
      </c>
      <c r="U4" s="162"/>
      <c r="V4" s="165"/>
    </row>
    <row r="5" spans="1:22" ht="38.25" x14ac:dyDescent="0.25">
      <c r="A5" s="173"/>
      <c r="B5" s="174"/>
      <c r="C5" s="179"/>
      <c r="D5" s="6" t="s">
        <v>207</v>
      </c>
      <c r="E5" s="7" t="s">
        <v>9</v>
      </c>
      <c r="F5" s="163"/>
      <c r="G5" s="8" t="s">
        <v>207</v>
      </c>
      <c r="H5" s="9" t="s">
        <v>9</v>
      </c>
      <c r="I5" s="163"/>
      <c r="J5" s="8" t="s">
        <v>207</v>
      </c>
      <c r="K5" s="9" t="s">
        <v>9</v>
      </c>
      <c r="L5" s="166"/>
      <c r="M5" s="160"/>
      <c r="N5" s="8" t="s">
        <v>207</v>
      </c>
      <c r="O5" s="9" t="s">
        <v>10</v>
      </c>
      <c r="P5" s="160"/>
      <c r="Q5" s="8" t="s">
        <v>207</v>
      </c>
      <c r="R5" s="9" t="s">
        <v>10</v>
      </c>
      <c r="S5" s="160"/>
      <c r="T5" s="8" t="s">
        <v>207</v>
      </c>
      <c r="U5" s="9" t="s">
        <v>10</v>
      </c>
      <c r="V5" s="165"/>
    </row>
    <row r="6" spans="1:22" x14ac:dyDescent="0.25">
      <c r="A6" s="10" t="s">
        <v>11</v>
      </c>
      <c r="B6" s="11" t="s">
        <v>12</v>
      </c>
      <c r="C6" s="12">
        <f>C7+C37</f>
        <v>3194061.4070100002</v>
      </c>
      <c r="D6" s="12">
        <f>D7+D37</f>
        <v>1699506.54746</v>
      </c>
      <c r="E6" s="12">
        <f>C6-D6</f>
        <v>1494554.8595500002</v>
      </c>
      <c r="F6" s="12">
        <f>F7+F37</f>
        <v>3224206.2004499999</v>
      </c>
      <c r="G6" s="12">
        <f>G7+G37</f>
        <v>1804128.5594499998</v>
      </c>
      <c r="H6" s="12">
        <f>F6-G6</f>
        <v>1420077.6410000001</v>
      </c>
      <c r="I6" s="12">
        <f>I7+I37</f>
        <v>3804146.5867099995</v>
      </c>
      <c r="J6" s="12">
        <f>J7+J37</f>
        <v>2274953.4098099996</v>
      </c>
      <c r="K6" s="12">
        <f>I6-J6</f>
        <v>1529193.1768999998</v>
      </c>
      <c r="L6" s="13">
        <f>K6/E6</f>
        <v>1.0231763438649746</v>
      </c>
      <c r="M6" s="12">
        <f>M7+M37</f>
        <v>3840283.8824300002</v>
      </c>
      <c r="N6" s="12">
        <f>N7+N37</f>
        <v>2308541.6885099998</v>
      </c>
      <c r="O6" s="12">
        <f>M6-N6</f>
        <v>1531742.1939200005</v>
      </c>
      <c r="P6" s="12">
        <f>P7+P37</f>
        <v>3994461.72768</v>
      </c>
      <c r="Q6" s="12">
        <f>Q7+Q37</f>
        <v>2473144.59968</v>
      </c>
      <c r="R6" s="12">
        <f>P6-Q6</f>
        <v>1521317.128</v>
      </c>
      <c r="S6" s="12">
        <f>S7+S37</f>
        <v>94142.680000000008</v>
      </c>
      <c r="T6" s="12">
        <f>T7+T37</f>
        <v>63534.880000000005</v>
      </c>
      <c r="U6" s="12">
        <f>S6-T6</f>
        <v>30607.800000000003</v>
      </c>
      <c r="V6" s="13">
        <f>U6/E6</f>
        <v>2.0479542657414258E-2</v>
      </c>
    </row>
    <row r="7" spans="1:22" x14ac:dyDescent="0.25">
      <c r="A7" s="14" t="s">
        <v>13</v>
      </c>
      <c r="B7" s="15" t="s">
        <v>14</v>
      </c>
      <c r="C7" s="16">
        <f>C8+C21</f>
        <v>1138030.21331</v>
      </c>
      <c r="D7" s="16">
        <f>D8+D21</f>
        <v>1885.1163899999999</v>
      </c>
      <c r="E7" s="17">
        <f t="shared" ref="E7:E99" si="0">C7-D7</f>
        <v>1136145.0969199999</v>
      </c>
      <c r="F7" s="16">
        <f>F8+F21</f>
        <v>1139013</v>
      </c>
      <c r="G7" s="16">
        <f>G8+G21</f>
        <v>0</v>
      </c>
      <c r="H7" s="17">
        <f t="shared" ref="H7:H49" si="1">F7-G7</f>
        <v>1139013</v>
      </c>
      <c r="I7" s="16">
        <f>I8+I21</f>
        <v>1209190.0319999999</v>
      </c>
      <c r="J7" s="16">
        <f>J8+J21</f>
        <v>2528.2227699999999</v>
      </c>
      <c r="K7" s="17">
        <f t="shared" ref="K7:K49" si="2">I7-J7</f>
        <v>1206661.8092299998</v>
      </c>
      <c r="L7" s="18">
        <f>K7/E7</f>
        <v>1.0620666431613048</v>
      </c>
      <c r="M7" s="16">
        <f>M8+M21</f>
        <v>1211737.1154500002</v>
      </c>
      <c r="N7" s="16">
        <f>N8+N21</f>
        <v>2528.2227699999999</v>
      </c>
      <c r="O7" s="17">
        <f t="shared" ref="O7:O49" si="3">M7-N7</f>
        <v>1209208.89268</v>
      </c>
      <c r="P7" s="16">
        <f>P8+P21</f>
        <v>1174194.6299999999</v>
      </c>
      <c r="Q7" s="16">
        <f>Q8+Q21</f>
        <v>0</v>
      </c>
      <c r="R7" s="17">
        <f t="shared" ref="R7:R49" si="4">P7-Q7</f>
        <v>1174194.6299999999</v>
      </c>
      <c r="S7" s="16">
        <f>S8+S21</f>
        <v>30607.800000000003</v>
      </c>
      <c r="T7" s="16">
        <f>T8+T21</f>
        <v>0</v>
      </c>
      <c r="U7" s="17">
        <f>S7-T7</f>
        <v>30607.800000000003</v>
      </c>
      <c r="V7" s="18">
        <f>U7/E7</f>
        <v>2.6940044966945985E-2</v>
      </c>
    </row>
    <row r="8" spans="1:22" ht="19.5" x14ac:dyDescent="0.25">
      <c r="A8" s="19" t="s">
        <v>15</v>
      </c>
      <c r="B8" s="20" t="s">
        <v>16</v>
      </c>
      <c r="C8" s="21">
        <f>C10+C11+C12+C17+C18+C19+C20</f>
        <v>927607.6507900001</v>
      </c>
      <c r="D8" s="21"/>
      <c r="E8" s="17">
        <f t="shared" si="0"/>
        <v>927607.6507900001</v>
      </c>
      <c r="F8" s="21">
        <f>F10+F11+F12+F17+F18+F19+F20</f>
        <v>951127.9</v>
      </c>
      <c r="G8" s="21"/>
      <c r="H8" s="17">
        <f t="shared" si="1"/>
        <v>951127.9</v>
      </c>
      <c r="I8" s="21">
        <f>I10+I11+I12+I17+I18+I19+I20</f>
        <v>976708.75251999998</v>
      </c>
      <c r="J8" s="21"/>
      <c r="K8" s="17">
        <f t="shared" si="2"/>
        <v>976708.75251999998</v>
      </c>
      <c r="L8" s="22">
        <f>K8/E8</f>
        <v>1.0529330495368194</v>
      </c>
      <c r="M8" s="28">
        <f>M10+M11+M12+M17+M18+M19+M20</f>
        <v>966497.87342000008</v>
      </c>
      <c r="N8" s="21"/>
      <c r="O8" s="17">
        <f t="shared" si="3"/>
        <v>966497.87342000008</v>
      </c>
      <c r="P8" s="21">
        <f>P10+P11+P12+P17+P18+P19+P20</f>
        <v>986775.13</v>
      </c>
      <c r="Q8" s="21"/>
      <c r="R8" s="17">
        <f t="shared" si="4"/>
        <v>986775.13</v>
      </c>
      <c r="S8" s="21">
        <f>S10+S11+S12+S17+S18+S19+S20</f>
        <v>28614.400000000001</v>
      </c>
      <c r="T8" s="21"/>
      <c r="U8" s="17">
        <f>S8-T8</f>
        <v>28614.400000000001</v>
      </c>
      <c r="V8" s="22">
        <f>U8/E8</f>
        <v>3.0847524786616901E-2</v>
      </c>
    </row>
    <row r="9" spans="1:22" x14ac:dyDescent="0.25">
      <c r="A9" s="23"/>
      <c r="B9" s="24" t="s">
        <v>17</v>
      </c>
      <c r="C9" s="25"/>
      <c r="D9" s="25"/>
      <c r="E9" s="17"/>
      <c r="F9" s="25"/>
      <c r="G9" s="25"/>
      <c r="H9" s="17"/>
      <c r="I9" s="25"/>
      <c r="J9" s="25"/>
      <c r="K9" s="17"/>
      <c r="L9" s="18"/>
      <c r="M9" s="25"/>
      <c r="N9" s="25"/>
      <c r="O9" s="17"/>
      <c r="P9" s="25"/>
      <c r="Q9" s="25"/>
      <c r="R9" s="17"/>
      <c r="S9" s="25"/>
      <c r="T9" s="25"/>
      <c r="U9" s="17"/>
      <c r="V9" s="18"/>
    </row>
    <row r="10" spans="1:22" x14ac:dyDescent="0.25">
      <c r="A10" s="23" t="s">
        <v>18</v>
      </c>
      <c r="B10" s="24" t="s">
        <v>19</v>
      </c>
      <c r="C10" s="25">
        <v>763261.76471000002</v>
      </c>
      <c r="D10" s="25"/>
      <c r="E10" s="17">
        <f t="shared" si="0"/>
        <v>763261.76471000002</v>
      </c>
      <c r="F10" s="25">
        <v>774046.95</v>
      </c>
      <c r="G10" s="25"/>
      <c r="H10" s="17">
        <f t="shared" si="1"/>
        <v>774046.95</v>
      </c>
      <c r="I10" s="25">
        <v>757687.68134999997</v>
      </c>
      <c r="J10" s="25"/>
      <c r="K10" s="17">
        <f t="shared" si="2"/>
        <v>757687.68134999997</v>
      </c>
      <c r="L10" s="18">
        <f>K10/E10</f>
        <v>0.99269702267593884</v>
      </c>
      <c r="M10" s="25">
        <v>757573.18613000005</v>
      </c>
      <c r="N10" s="25"/>
      <c r="O10" s="17">
        <f t="shared" si="3"/>
        <v>757573.18613000005</v>
      </c>
      <c r="P10" s="25">
        <v>754773.2</v>
      </c>
      <c r="Q10" s="25"/>
      <c r="R10" s="17">
        <f t="shared" si="4"/>
        <v>754773.2</v>
      </c>
      <c r="S10" s="25">
        <f>26620-313.05</f>
        <v>26306.95</v>
      </c>
      <c r="T10" s="25"/>
      <c r="U10" s="17">
        <f>S10-T10</f>
        <v>26306.95</v>
      </c>
      <c r="V10" s="18">
        <f>U10/E10</f>
        <v>3.4466484784542145E-2</v>
      </c>
    </row>
    <row r="11" spans="1:22" x14ac:dyDescent="0.25">
      <c r="A11" s="23" t="s">
        <v>20</v>
      </c>
      <c r="B11" s="24" t="s">
        <v>21</v>
      </c>
      <c r="C11" s="25">
        <v>16403.059000000001</v>
      </c>
      <c r="D11" s="25"/>
      <c r="E11" s="17">
        <f t="shared" si="0"/>
        <v>16403.059000000001</v>
      </c>
      <c r="F11" s="25">
        <v>17105.099999999999</v>
      </c>
      <c r="G11" s="25"/>
      <c r="H11" s="17">
        <f t="shared" si="1"/>
        <v>17105.099999999999</v>
      </c>
      <c r="I11" s="25">
        <v>18605.099999999999</v>
      </c>
      <c r="J11" s="25"/>
      <c r="K11" s="17">
        <f t="shared" si="2"/>
        <v>18605.099999999999</v>
      </c>
      <c r="L11" s="18"/>
      <c r="M11" s="25">
        <v>19016.483700000001</v>
      </c>
      <c r="N11" s="25"/>
      <c r="O11" s="17">
        <f t="shared" si="3"/>
        <v>19016.483700000001</v>
      </c>
      <c r="P11" s="25">
        <v>19577.68</v>
      </c>
      <c r="Q11" s="25"/>
      <c r="R11" s="17">
        <f t="shared" si="4"/>
        <v>19577.68</v>
      </c>
      <c r="S11" s="25">
        <v>1305.45</v>
      </c>
      <c r="T11" s="25"/>
      <c r="U11" s="17">
        <f>S11-T11</f>
        <v>1305.45</v>
      </c>
      <c r="V11" s="18"/>
    </row>
    <row r="12" spans="1:22" x14ac:dyDescent="0.25">
      <c r="A12" s="23" t="s">
        <v>22</v>
      </c>
      <c r="B12" s="24" t="s">
        <v>23</v>
      </c>
      <c r="C12" s="26">
        <f>SUM(C13:C16)</f>
        <v>126179.05486</v>
      </c>
      <c r="D12" s="26">
        <f>SUM(D13:D16)</f>
        <v>0</v>
      </c>
      <c r="E12" s="17">
        <f>C12-D12</f>
        <v>126179.05486</v>
      </c>
      <c r="F12" s="26">
        <f>SUM(F13:F16)</f>
        <v>138759.85</v>
      </c>
      <c r="G12" s="26">
        <f>SUM(G13:G16)</f>
        <v>0</v>
      </c>
      <c r="H12" s="17">
        <f t="shared" si="1"/>
        <v>138759.85</v>
      </c>
      <c r="I12" s="26">
        <f>SUM(I13:I16)</f>
        <v>177602.21500000003</v>
      </c>
      <c r="J12" s="26">
        <f>SUM(J13:J16)</f>
        <v>0</v>
      </c>
      <c r="K12" s="17">
        <f t="shared" si="2"/>
        <v>177602.21500000003</v>
      </c>
      <c r="L12" s="18">
        <f t="shared" ref="L12:L21" si="5">K12/E12</f>
        <v>1.4075411739060479</v>
      </c>
      <c r="M12" s="26">
        <f>M13+M14+M15+M16</f>
        <v>164559.06219</v>
      </c>
      <c r="N12" s="26">
        <f>SUM(N13:N16)</f>
        <v>0</v>
      </c>
      <c r="O12" s="17">
        <f t="shared" si="3"/>
        <v>164559.06219</v>
      </c>
      <c r="P12" s="26">
        <f>P13+P14+P15+P16</f>
        <v>191432.62999999998</v>
      </c>
      <c r="Q12" s="26">
        <f>SUM(Q13:Q16)</f>
        <v>0</v>
      </c>
      <c r="R12" s="17">
        <f t="shared" si="4"/>
        <v>191432.62999999998</v>
      </c>
      <c r="S12" s="26">
        <f>S13+S14+S15+S16</f>
        <v>315</v>
      </c>
      <c r="T12" s="26">
        <f>SUM(T13:T16)</f>
        <v>0</v>
      </c>
      <c r="U12" s="17">
        <f t="shared" ref="U12:U49" si="6">S12-T12</f>
        <v>315</v>
      </c>
      <c r="V12" s="18">
        <f t="shared" ref="V12:V21" si="7">U12/E12</f>
        <v>2.4964523656442294E-3</v>
      </c>
    </row>
    <row r="13" spans="1:22" ht="26.25" x14ac:dyDescent="0.25">
      <c r="A13" s="23"/>
      <c r="B13" s="24" t="s">
        <v>24</v>
      </c>
      <c r="C13" s="25">
        <v>126330.50339</v>
      </c>
      <c r="D13" s="25"/>
      <c r="E13" s="27">
        <f t="shared" si="0"/>
        <v>126330.50339</v>
      </c>
      <c r="F13" s="25">
        <v>138145.88</v>
      </c>
      <c r="G13" s="25"/>
      <c r="H13" s="27">
        <f t="shared" si="1"/>
        <v>138145.88</v>
      </c>
      <c r="I13" s="25">
        <v>176134.163</v>
      </c>
      <c r="J13" s="25"/>
      <c r="K13" s="27">
        <f>I13-J13</f>
        <v>176134.163</v>
      </c>
      <c r="L13" s="18">
        <f t="shared" si="5"/>
        <v>1.3942330496083684</v>
      </c>
      <c r="M13" s="25">
        <v>163158.14778</v>
      </c>
      <c r="N13" s="25"/>
      <c r="O13" s="27">
        <f t="shared" si="3"/>
        <v>163158.14778</v>
      </c>
      <c r="P13" s="25">
        <v>189909.52</v>
      </c>
      <c r="Q13" s="25"/>
      <c r="R13" s="27">
        <f t="shared" si="4"/>
        <v>189909.52</v>
      </c>
      <c r="S13" s="25">
        <v>0</v>
      </c>
      <c r="T13" s="25"/>
      <c r="U13" s="27">
        <f t="shared" si="6"/>
        <v>0</v>
      </c>
      <c r="V13" s="18">
        <f t="shared" si="7"/>
        <v>0</v>
      </c>
    </row>
    <row r="14" spans="1:22" ht="26.25" x14ac:dyDescent="0.25">
      <c r="A14" s="23"/>
      <c r="B14" s="24" t="s">
        <v>25</v>
      </c>
      <c r="C14" s="25">
        <v>-455.64361000000002</v>
      </c>
      <c r="D14" s="25"/>
      <c r="E14" s="27">
        <f t="shared" si="0"/>
        <v>-455.64361000000002</v>
      </c>
      <c r="F14" s="25">
        <v>0</v>
      </c>
      <c r="G14" s="25"/>
      <c r="H14" s="27">
        <f t="shared" si="1"/>
        <v>0</v>
      </c>
      <c r="I14" s="25">
        <v>29.42</v>
      </c>
      <c r="J14" s="25"/>
      <c r="K14" s="27">
        <f>I14-J14</f>
        <v>29.42</v>
      </c>
      <c r="L14" s="18">
        <f t="shared" si="5"/>
        <v>-6.4568007438971869E-2</v>
      </c>
      <c r="M14" s="25">
        <v>28.749939999999999</v>
      </c>
      <c r="N14" s="25"/>
      <c r="O14" s="27">
        <f t="shared" si="3"/>
        <v>28.749939999999999</v>
      </c>
      <c r="P14" s="25">
        <v>0</v>
      </c>
      <c r="Q14" s="25"/>
      <c r="R14" s="27">
        <f t="shared" si="4"/>
        <v>0</v>
      </c>
      <c r="S14" s="25">
        <v>0</v>
      </c>
      <c r="T14" s="25"/>
      <c r="U14" s="27">
        <f t="shared" si="6"/>
        <v>0</v>
      </c>
      <c r="V14" s="18">
        <f t="shared" si="7"/>
        <v>0</v>
      </c>
    </row>
    <row r="15" spans="1:22" x14ac:dyDescent="0.25">
      <c r="A15" s="23"/>
      <c r="B15" s="24" t="s">
        <v>26</v>
      </c>
      <c r="C15" s="25">
        <v>0</v>
      </c>
      <c r="D15" s="25"/>
      <c r="E15" s="27">
        <f t="shared" si="0"/>
        <v>0</v>
      </c>
      <c r="F15" s="25"/>
      <c r="G15" s="25"/>
      <c r="H15" s="27">
        <f t="shared" si="1"/>
        <v>0</v>
      </c>
      <c r="I15" s="25"/>
      <c r="J15" s="25"/>
      <c r="K15" s="27">
        <f t="shared" si="2"/>
        <v>0</v>
      </c>
      <c r="L15" s="18" t="e">
        <f t="shared" si="5"/>
        <v>#DIV/0!</v>
      </c>
      <c r="M15" s="25"/>
      <c r="N15" s="25"/>
      <c r="O15" s="27">
        <f t="shared" si="3"/>
        <v>0</v>
      </c>
      <c r="P15" s="25">
        <v>0</v>
      </c>
      <c r="Q15" s="25"/>
      <c r="R15" s="27">
        <f t="shared" si="4"/>
        <v>0</v>
      </c>
      <c r="S15" s="25"/>
      <c r="T15" s="25"/>
      <c r="U15" s="27">
        <f t="shared" si="6"/>
        <v>0</v>
      </c>
      <c r="V15" s="18" t="e">
        <f t="shared" si="7"/>
        <v>#DIV/0!</v>
      </c>
    </row>
    <row r="16" spans="1:22" x14ac:dyDescent="0.25">
      <c r="A16" s="23"/>
      <c r="B16" s="24" t="s">
        <v>27</v>
      </c>
      <c r="C16" s="25">
        <v>304.19508000000002</v>
      </c>
      <c r="D16" s="25"/>
      <c r="E16" s="27">
        <f t="shared" si="0"/>
        <v>304.19508000000002</v>
      </c>
      <c r="F16" s="25">
        <v>613.97</v>
      </c>
      <c r="G16" s="25"/>
      <c r="H16" s="27">
        <f t="shared" si="1"/>
        <v>613.97</v>
      </c>
      <c r="I16" s="25">
        <v>1438.6320000000001</v>
      </c>
      <c r="J16" s="25"/>
      <c r="K16" s="27">
        <f t="shared" si="2"/>
        <v>1438.6320000000001</v>
      </c>
      <c r="L16" s="18">
        <f t="shared" si="5"/>
        <v>4.7293072590128675</v>
      </c>
      <c r="M16" s="25">
        <v>1372.1644699999999</v>
      </c>
      <c r="N16" s="25"/>
      <c r="O16" s="27">
        <f t="shared" si="3"/>
        <v>1372.1644699999999</v>
      </c>
      <c r="P16" s="25">
        <v>1523.11</v>
      </c>
      <c r="Q16" s="25"/>
      <c r="R16" s="27">
        <f t="shared" si="4"/>
        <v>1523.11</v>
      </c>
      <c r="S16" s="25">
        <v>315</v>
      </c>
      <c r="T16" s="25"/>
      <c r="U16" s="27">
        <f t="shared" si="6"/>
        <v>315</v>
      </c>
      <c r="V16" s="18">
        <f t="shared" si="7"/>
        <v>1.0355197066303636</v>
      </c>
    </row>
    <row r="17" spans="1:22" x14ac:dyDescent="0.25">
      <c r="A17" s="23" t="s">
        <v>28</v>
      </c>
      <c r="B17" s="24" t="s">
        <v>29</v>
      </c>
      <c r="C17" s="25">
        <v>10856.024869999999</v>
      </c>
      <c r="D17" s="25"/>
      <c r="E17" s="17">
        <f t="shared" si="0"/>
        <v>10856.024869999999</v>
      </c>
      <c r="F17" s="25">
        <v>9549.2999999999993</v>
      </c>
      <c r="G17" s="25"/>
      <c r="H17" s="17">
        <f t="shared" si="1"/>
        <v>9549.2999999999993</v>
      </c>
      <c r="I17" s="25">
        <v>9549.2999999999993</v>
      </c>
      <c r="J17" s="25"/>
      <c r="K17" s="17">
        <f>I17-J17</f>
        <v>9549.2999999999993</v>
      </c>
      <c r="L17" s="18">
        <f t="shared" si="5"/>
        <v>0.87963136731465497</v>
      </c>
      <c r="M17" s="25">
        <v>10746.98929</v>
      </c>
      <c r="N17" s="25"/>
      <c r="O17" s="17">
        <f t="shared" si="3"/>
        <v>10746.98929</v>
      </c>
      <c r="P17" s="25">
        <v>10261.4</v>
      </c>
      <c r="Q17" s="25"/>
      <c r="R17" s="17">
        <f t="shared" si="4"/>
        <v>10261.4</v>
      </c>
      <c r="S17" s="25">
        <v>300</v>
      </c>
      <c r="T17" s="25"/>
      <c r="U17" s="17">
        <f t="shared" si="6"/>
        <v>300</v>
      </c>
      <c r="V17" s="18">
        <f t="shared" si="7"/>
        <v>2.7634424533148662E-2</v>
      </c>
    </row>
    <row r="18" spans="1:22" x14ac:dyDescent="0.25">
      <c r="A18" s="23" t="s">
        <v>30</v>
      </c>
      <c r="B18" s="24" t="s">
        <v>31</v>
      </c>
      <c r="C18" s="25">
        <v>1573.18426</v>
      </c>
      <c r="D18" s="25"/>
      <c r="E18" s="17">
        <f t="shared" si="0"/>
        <v>1573.18426</v>
      </c>
      <c r="F18" s="25">
        <v>2092.4</v>
      </c>
      <c r="G18" s="25"/>
      <c r="H18" s="17">
        <f t="shared" si="1"/>
        <v>2092.4</v>
      </c>
      <c r="I18" s="25">
        <v>1236.7921699999999</v>
      </c>
      <c r="J18" s="25"/>
      <c r="K18" s="17">
        <f t="shared" si="2"/>
        <v>1236.7921699999999</v>
      </c>
      <c r="L18" s="18">
        <f t="shared" si="5"/>
        <v>0.78617120794229145</v>
      </c>
      <c r="M18" s="25">
        <v>1283.1012000000001</v>
      </c>
      <c r="N18" s="25"/>
      <c r="O18" s="17">
        <f t="shared" si="3"/>
        <v>1283.1012000000001</v>
      </c>
      <c r="P18" s="25">
        <v>1245.95</v>
      </c>
      <c r="Q18" s="25"/>
      <c r="R18" s="17">
        <f t="shared" si="4"/>
        <v>1245.95</v>
      </c>
      <c r="S18" s="25"/>
      <c r="T18" s="25"/>
      <c r="U18" s="17">
        <f t="shared" si="6"/>
        <v>0</v>
      </c>
      <c r="V18" s="18">
        <f t="shared" si="7"/>
        <v>0</v>
      </c>
    </row>
    <row r="19" spans="1:22" x14ac:dyDescent="0.25">
      <c r="A19" s="23" t="s">
        <v>32</v>
      </c>
      <c r="B19" s="24" t="s">
        <v>33</v>
      </c>
      <c r="C19" s="25">
        <v>9334.3575600000004</v>
      </c>
      <c r="D19" s="25"/>
      <c r="E19" s="17">
        <f t="shared" si="0"/>
        <v>9334.3575600000004</v>
      </c>
      <c r="F19" s="25">
        <v>9574.2999999999993</v>
      </c>
      <c r="G19" s="25"/>
      <c r="H19" s="17">
        <f t="shared" si="1"/>
        <v>9574.2999999999993</v>
      </c>
      <c r="I19" s="25">
        <v>12027.664000000001</v>
      </c>
      <c r="J19" s="25"/>
      <c r="K19" s="17">
        <f>I19-J19</f>
        <v>12027.664000000001</v>
      </c>
      <c r="L19" s="18">
        <f t="shared" si="5"/>
        <v>1.2885368835174555</v>
      </c>
      <c r="M19" s="25">
        <v>13319.05091</v>
      </c>
      <c r="N19" s="25"/>
      <c r="O19" s="17">
        <f t="shared" si="3"/>
        <v>13319.05091</v>
      </c>
      <c r="P19" s="25">
        <v>9484.27</v>
      </c>
      <c r="Q19" s="25"/>
      <c r="R19" s="17">
        <f t="shared" si="4"/>
        <v>9484.27</v>
      </c>
      <c r="S19" s="25">
        <v>387</v>
      </c>
      <c r="T19" s="25"/>
      <c r="U19" s="17">
        <f t="shared" si="6"/>
        <v>387</v>
      </c>
      <c r="V19" s="18">
        <f t="shared" si="7"/>
        <v>4.1459735982087235E-2</v>
      </c>
    </row>
    <row r="20" spans="1:22" x14ac:dyDescent="0.25">
      <c r="A20" s="23" t="s">
        <v>34</v>
      </c>
      <c r="B20" s="24" t="s">
        <v>35</v>
      </c>
      <c r="C20" s="25">
        <v>0.20552999999999999</v>
      </c>
      <c r="D20" s="25"/>
      <c r="E20" s="17">
        <f t="shared" si="0"/>
        <v>0.20552999999999999</v>
      </c>
      <c r="F20" s="25"/>
      <c r="G20" s="25"/>
      <c r="H20" s="17">
        <f t="shared" si="1"/>
        <v>0</v>
      </c>
      <c r="I20" s="25"/>
      <c r="J20" s="25"/>
      <c r="K20" s="17">
        <f t="shared" si="2"/>
        <v>0</v>
      </c>
      <c r="L20" s="18">
        <f t="shared" si="5"/>
        <v>0</v>
      </c>
      <c r="M20" s="25"/>
      <c r="N20" s="25"/>
      <c r="O20" s="17">
        <f t="shared" si="3"/>
        <v>0</v>
      </c>
      <c r="P20" s="25"/>
      <c r="Q20" s="25"/>
      <c r="R20" s="17">
        <f t="shared" si="4"/>
        <v>0</v>
      </c>
      <c r="S20" s="25"/>
      <c r="T20" s="25"/>
      <c r="U20" s="17">
        <f t="shared" si="6"/>
        <v>0</v>
      </c>
      <c r="V20" s="18">
        <f t="shared" si="7"/>
        <v>0</v>
      </c>
    </row>
    <row r="21" spans="1:22" ht="19.5" x14ac:dyDescent="0.25">
      <c r="A21" s="19" t="s">
        <v>36</v>
      </c>
      <c r="B21" s="20" t="s">
        <v>37</v>
      </c>
      <c r="C21" s="28">
        <f>C23+C24+C25+C26+C27+C28+C29+C30+C31+C32+C33+C36</f>
        <v>210422.56252000004</v>
      </c>
      <c r="D21" s="28">
        <f>D23+D24+D25+D26+D27+D28+D29+D30+D31+D32+D33+D36</f>
        <v>1885.1163899999999</v>
      </c>
      <c r="E21" s="29">
        <f>C21-D21</f>
        <v>208537.44613000003</v>
      </c>
      <c r="F21" s="28">
        <f>F23+F24+F25+F26+F27+F28+F29+F30+F31+F32+F33+F36</f>
        <v>187885.09999999998</v>
      </c>
      <c r="G21" s="28">
        <f>G23+G24+G25+G26+G27+G28+G29+G30+G31+G32+G33+G36</f>
        <v>0</v>
      </c>
      <c r="H21" s="29">
        <f t="shared" si="1"/>
        <v>187885.09999999998</v>
      </c>
      <c r="I21" s="28">
        <f>I23+I24+I25+I26+I27+I28+I29+I30+I31+I32+I33+I36</f>
        <v>232481.27948</v>
      </c>
      <c r="J21" s="28">
        <f>J23+J24+J25+J26+J27+J28+J29+J30+J31+J32+J33+J36</f>
        <v>2528.2227699999999</v>
      </c>
      <c r="K21" s="29">
        <f t="shared" si="2"/>
        <v>229953.05671</v>
      </c>
      <c r="L21" s="30">
        <f t="shared" si="5"/>
        <v>1.1026943169077159</v>
      </c>
      <c r="M21" s="28">
        <f>M23+M24+M25+M26+M27+M28+M29+M30+M31+M32+M33+M36</f>
        <v>245239.24202999999</v>
      </c>
      <c r="N21" s="28">
        <f>N23+N24+N25+N26+N27+N28+N29+N30+N31+N32+N33+N36</f>
        <v>2528.2227699999999</v>
      </c>
      <c r="O21" s="29">
        <f t="shared" si="3"/>
        <v>242711.01926</v>
      </c>
      <c r="P21" s="28">
        <f>P23+P24+P25+P26+P27+P28+P29+P30+P31+P32+P33+P36</f>
        <v>187419.5</v>
      </c>
      <c r="Q21" s="28">
        <f>Q23+Q24+Q25+Q26+Q27+Q28+Q29+Q30+Q31+Q32+Q33+Q36</f>
        <v>0</v>
      </c>
      <c r="R21" s="29">
        <f t="shared" si="4"/>
        <v>187419.5</v>
      </c>
      <c r="S21" s="28">
        <f>S23+S24+S25+S26+S27+S28+S29+S30+S31+S32+S33+S36</f>
        <v>1993.4</v>
      </c>
      <c r="T21" s="28">
        <f>T23+T24+T25+T26+T27+T28+T29+T30+T31+T32+T33+T36</f>
        <v>0</v>
      </c>
      <c r="U21" s="29">
        <f>S21-T21</f>
        <v>1993.4</v>
      </c>
      <c r="V21" s="30">
        <f t="shared" si="7"/>
        <v>9.5589546961140776E-3</v>
      </c>
    </row>
    <row r="22" spans="1:22" x14ac:dyDescent="0.25">
      <c r="A22" s="23"/>
      <c r="B22" s="24" t="s">
        <v>17</v>
      </c>
      <c r="C22" s="25"/>
      <c r="D22" s="25"/>
      <c r="E22" s="17"/>
      <c r="F22" s="25"/>
      <c r="G22" s="25"/>
      <c r="H22" s="17"/>
      <c r="I22" s="25"/>
      <c r="J22" s="25"/>
      <c r="K22" s="17"/>
      <c r="L22" s="18"/>
      <c r="M22" s="25"/>
      <c r="N22" s="25"/>
      <c r="O22" s="17"/>
      <c r="P22" s="25"/>
      <c r="Q22" s="25"/>
      <c r="R22" s="17"/>
      <c r="S22" s="25"/>
      <c r="T22" s="25"/>
      <c r="U22" s="17"/>
      <c r="V22" s="18"/>
    </row>
    <row r="23" spans="1:22" ht="38.25" x14ac:dyDescent="0.25">
      <c r="A23" s="23" t="s">
        <v>18</v>
      </c>
      <c r="B23" s="31" t="s">
        <v>38</v>
      </c>
      <c r="C23" s="25"/>
      <c r="D23" s="25"/>
      <c r="E23" s="17">
        <f t="shared" si="0"/>
        <v>0</v>
      </c>
      <c r="F23" s="25"/>
      <c r="G23" s="25"/>
      <c r="H23" s="17">
        <f t="shared" si="1"/>
        <v>0</v>
      </c>
      <c r="I23" s="25"/>
      <c r="J23" s="25"/>
      <c r="K23" s="17">
        <f t="shared" si="2"/>
        <v>0</v>
      </c>
      <c r="L23" s="18" t="e">
        <f>K23/E23</f>
        <v>#DIV/0!</v>
      </c>
      <c r="M23" s="25"/>
      <c r="N23" s="25"/>
      <c r="O23" s="17">
        <f t="shared" si="3"/>
        <v>0</v>
      </c>
      <c r="P23" s="25"/>
      <c r="Q23" s="25"/>
      <c r="R23" s="17">
        <f t="shared" si="4"/>
        <v>0</v>
      </c>
      <c r="S23" s="25"/>
      <c r="T23" s="25"/>
      <c r="U23" s="17">
        <f t="shared" si="6"/>
        <v>0</v>
      </c>
      <c r="V23" s="18" t="e">
        <f>U23/E23</f>
        <v>#DIV/0!</v>
      </c>
    </row>
    <row r="24" spans="1:22" ht="25.5" x14ac:dyDescent="0.25">
      <c r="A24" s="23" t="s">
        <v>20</v>
      </c>
      <c r="B24" s="31" t="s">
        <v>39</v>
      </c>
      <c r="C24" s="25"/>
      <c r="D24" s="25"/>
      <c r="E24" s="17">
        <f>C24-D24</f>
        <v>0</v>
      </c>
      <c r="F24" s="25"/>
      <c r="G24" s="25"/>
      <c r="H24" s="17">
        <f t="shared" si="1"/>
        <v>0</v>
      </c>
      <c r="I24" s="25"/>
      <c r="J24" s="25"/>
      <c r="K24" s="17">
        <f t="shared" si="2"/>
        <v>0</v>
      </c>
      <c r="L24" s="18" t="e">
        <f>K24/E24</f>
        <v>#DIV/0!</v>
      </c>
      <c r="M24" s="25"/>
      <c r="N24" s="25"/>
      <c r="O24" s="17">
        <f t="shared" si="3"/>
        <v>0</v>
      </c>
      <c r="P24" s="25"/>
      <c r="Q24" s="25"/>
      <c r="R24" s="17">
        <f t="shared" si="4"/>
        <v>0</v>
      </c>
      <c r="S24" s="25"/>
      <c r="T24" s="25"/>
      <c r="U24" s="17">
        <f>S24-T24</f>
        <v>0</v>
      </c>
      <c r="V24" s="18" t="e">
        <f>U24/E24</f>
        <v>#DIV/0!</v>
      </c>
    </row>
    <row r="25" spans="1:22" ht="25.5" x14ac:dyDescent="0.25">
      <c r="A25" s="23" t="s">
        <v>22</v>
      </c>
      <c r="B25" s="31" t="s">
        <v>40</v>
      </c>
      <c r="C25" s="25">
        <f>135841.3443+1688.20246</f>
        <v>137529.54676</v>
      </c>
      <c r="D25" s="25"/>
      <c r="E25" s="17">
        <f>C25-D25</f>
        <v>137529.54676</v>
      </c>
      <c r="F25" s="25">
        <f>134272.8+1428+59.9</f>
        <v>135760.69999999998</v>
      </c>
      <c r="G25" s="25"/>
      <c r="H25" s="17">
        <f t="shared" si="1"/>
        <v>135760.69999999998</v>
      </c>
      <c r="I25" s="25">
        <f>166535.63024+1564.34316+59.9</f>
        <v>168159.87339999998</v>
      </c>
      <c r="J25" s="25"/>
      <c r="K25" s="17">
        <f t="shared" si="2"/>
        <v>168159.87339999998</v>
      </c>
      <c r="L25" s="18"/>
      <c r="M25" s="25">
        <f>171950.51903+1604.06464+0.02063</f>
        <v>173554.60430000001</v>
      </c>
      <c r="N25" s="25"/>
      <c r="O25" s="17">
        <f t="shared" si="3"/>
        <v>173554.60430000001</v>
      </c>
      <c r="P25" s="25">
        <f>148013.85+954.57+59.91</f>
        <v>149028.33000000002</v>
      </c>
      <c r="Q25" s="25"/>
      <c r="R25" s="17">
        <f t="shared" si="4"/>
        <v>149028.33000000002</v>
      </c>
      <c r="S25" s="25">
        <v>386</v>
      </c>
      <c r="T25" s="25"/>
      <c r="U25" s="17">
        <f>S25-T25</f>
        <v>386</v>
      </c>
      <c r="V25" s="18"/>
    </row>
    <row r="26" spans="1:22" x14ac:dyDescent="0.25">
      <c r="A26" s="23" t="s">
        <v>28</v>
      </c>
      <c r="B26" s="31" t="s">
        <v>41</v>
      </c>
      <c r="C26" s="25"/>
      <c r="D26" s="25"/>
      <c r="E26" s="17">
        <f>C26-D26</f>
        <v>0</v>
      </c>
      <c r="F26" s="25"/>
      <c r="G26" s="25"/>
      <c r="H26" s="17">
        <f t="shared" si="1"/>
        <v>0</v>
      </c>
      <c r="I26" s="25"/>
      <c r="J26" s="25"/>
      <c r="K26" s="17">
        <f t="shared" si="2"/>
        <v>0</v>
      </c>
      <c r="L26" s="18" t="e">
        <f>K26/E26</f>
        <v>#DIV/0!</v>
      </c>
      <c r="M26" s="25"/>
      <c r="N26" s="25"/>
      <c r="O26" s="17">
        <f t="shared" si="3"/>
        <v>0</v>
      </c>
      <c r="P26" s="25"/>
      <c r="Q26" s="25"/>
      <c r="R26" s="17">
        <f t="shared" si="4"/>
        <v>0</v>
      </c>
      <c r="S26" s="25"/>
      <c r="T26" s="25"/>
      <c r="U26" s="17">
        <f t="shared" si="6"/>
        <v>0</v>
      </c>
      <c r="V26" s="18" t="e">
        <f>U26/E26</f>
        <v>#DIV/0!</v>
      </c>
    </row>
    <row r="27" spans="1:22" ht="38.25" x14ac:dyDescent="0.25">
      <c r="A27" s="23" t="s">
        <v>30</v>
      </c>
      <c r="B27" s="31" t="s">
        <v>42</v>
      </c>
      <c r="C27" s="25">
        <f>23674.16163</f>
        <v>23674.161629999999</v>
      </c>
      <c r="D27" s="25"/>
      <c r="E27" s="17">
        <f>C27-D27</f>
        <v>23674.161629999999</v>
      </c>
      <c r="F27" s="25">
        <v>17119.599999999999</v>
      </c>
      <c r="G27" s="25"/>
      <c r="H27" s="17">
        <f t="shared" si="1"/>
        <v>17119.599999999999</v>
      </c>
      <c r="I27" s="25">
        <f>21916.33882</f>
        <v>21916.338820000001</v>
      </c>
      <c r="J27" s="25"/>
      <c r="K27" s="17">
        <f t="shared" si="2"/>
        <v>21916.338820000001</v>
      </c>
      <c r="L27" s="18"/>
      <c r="M27" s="25">
        <v>24023.475589999998</v>
      </c>
      <c r="N27" s="25"/>
      <c r="O27" s="17">
        <f t="shared" si="3"/>
        <v>24023.475589999998</v>
      </c>
      <c r="P27" s="25">
        <v>16493.240000000002</v>
      </c>
      <c r="Q27" s="25"/>
      <c r="R27" s="17">
        <f t="shared" si="4"/>
        <v>16493.240000000002</v>
      </c>
      <c r="S27" s="25">
        <v>857.4</v>
      </c>
      <c r="T27" s="25"/>
      <c r="U27" s="17">
        <f t="shared" si="6"/>
        <v>857.4</v>
      </c>
      <c r="V27" s="18"/>
    </row>
    <row r="28" spans="1:22" ht="38.25" x14ac:dyDescent="0.25">
      <c r="A28" s="23" t="s">
        <v>32</v>
      </c>
      <c r="B28" s="31" t="s">
        <v>43</v>
      </c>
      <c r="C28" s="25">
        <f>60.7693</f>
        <v>60.769300000000001</v>
      </c>
      <c r="D28" s="25"/>
      <c r="E28" s="17">
        <f>C28-D28</f>
        <v>60.769300000000001</v>
      </c>
      <c r="F28" s="25"/>
      <c r="G28" s="25"/>
      <c r="H28" s="17">
        <f t="shared" si="1"/>
        <v>0</v>
      </c>
      <c r="I28" s="25"/>
      <c r="J28" s="25"/>
      <c r="K28" s="17">
        <f t="shared" si="2"/>
        <v>0</v>
      </c>
      <c r="L28" s="18"/>
      <c r="M28" s="25"/>
      <c r="N28" s="25"/>
      <c r="O28" s="17">
        <f t="shared" si="3"/>
        <v>0</v>
      </c>
      <c r="P28" s="25"/>
      <c r="Q28" s="25"/>
      <c r="R28" s="17">
        <f t="shared" si="4"/>
        <v>0</v>
      </c>
      <c r="S28" s="25"/>
      <c r="T28" s="25"/>
      <c r="U28" s="17">
        <f t="shared" si="6"/>
        <v>0</v>
      </c>
      <c r="V28" s="18"/>
    </row>
    <row r="29" spans="1:22" ht="25.5" x14ac:dyDescent="0.25">
      <c r="A29" s="23" t="s">
        <v>34</v>
      </c>
      <c r="B29" s="31" t="s">
        <v>44</v>
      </c>
      <c r="C29" s="25">
        <v>2</v>
      </c>
      <c r="D29" s="25"/>
      <c r="E29" s="17">
        <f t="shared" si="0"/>
        <v>2</v>
      </c>
      <c r="F29" s="25"/>
      <c r="G29" s="25"/>
      <c r="H29" s="17">
        <f t="shared" si="1"/>
        <v>0</v>
      </c>
      <c r="I29" s="25"/>
      <c r="J29" s="25"/>
      <c r="K29" s="17">
        <f t="shared" si="2"/>
        <v>0</v>
      </c>
      <c r="L29" s="18">
        <f>K29/E29</f>
        <v>0</v>
      </c>
      <c r="M29" s="25"/>
      <c r="N29" s="25"/>
      <c r="O29" s="17">
        <f t="shared" si="3"/>
        <v>0</v>
      </c>
      <c r="P29" s="25"/>
      <c r="Q29" s="25"/>
      <c r="R29" s="17">
        <f t="shared" si="4"/>
        <v>0</v>
      </c>
      <c r="S29" s="25"/>
      <c r="T29" s="25"/>
      <c r="U29" s="17">
        <f t="shared" si="6"/>
        <v>0</v>
      </c>
      <c r="V29" s="18">
        <f>U29/E29</f>
        <v>0</v>
      </c>
    </row>
    <row r="30" spans="1:22" ht="25.5" x14ac:dyDescent="0.25">
      <c r="A30" s="23" t="s">
        <v>45</v>
      </c>
      <c r="B30" s="31" t="s">
        <v>46</v>
      </c>
      <c r="C30" s="25">
        <v>22192.854800000001</v>
      </c>
      <c r="D30" s="25"/>
      <c r="E30" s="17">
        <f t="shared" si="0"/>
        <v>22192.854800000001</v>
      </c>
      <c r="F30" s="25">
        <v>24914</v>
      </c>
      <c r="G30" s="25"/>
      <c r="H30" s="17">
        <f t="shared" si="1"/>
        <v>24914</v>
      </c>
      <c r="I30" s="25">
        <v>14009.569020000001</v>
      </c>
      <c r="J30" s="25"/>
      <c r="K30" s="17">
        <f t="shared" si="2"/>
        <v>14009.569020000001</v>
      </c>
      <c r="L30" s="18">
        <f>K30/E30</f>
        <v>0.63126484385415793</v>
      </c>
      <c r="M30" s="25">
        <v>14068.46912</v>
      </c>
      <c r="N30" s="25"/>
      <c r="O30" s="17">
        <f t="shared" si="3"/>
        <v>14068.46912</v>
      </c>
      <c r="P30" s="25">
        <v>12126.92</v>
      </c>
      <c r="Q30" s="25"/>
      <c r="R30" s="17">
        <f t="shared" si="4"/>
        <v>12126.92</v>
      </c>
      <c r="S30" s="25"/>
      <c r="T30" s="25"/>
      <c r="U30" s="17">
        <f t="shared" si="6"/>
        <v>0</v>
      </c>
      <c r="V30" s="18">
        <f>U30/E30</f>
        <v>0</v>
      </c>
    </row>
    <row r="31" spans="1:22" ht="25.5" x14ac:dyDescent="0.25">
      <c r="A31" s="23" t="s">
        <v>47</v>
      </c>
      <c r="B31" s="31" t="s">
        <v>48</v>
      </c>
      <c r="C31" s="25">
        <v>10106.430899999999</v>
      </c>
      <c r="D31" s="25">
        <v>1545.5074</v>
      </c>
      <c r="E31" s="17">
        <f t="shared" si="0"/>
        <v>8560.923499999999</v>
      </c>
      <c r="F31" s="25">
        <v>3192.8</v>
      </c>
      <c r="G31" s="25"/>
      <c r="H31" s="17">
        <f t="shared" si="1"/>
        <v>3192.8</v>
      </c>
      <c r="I31" s="25">
        <v>8097.9608099999996</v>
      </c>
      <c r="J31" s="25">
        <v>1.7227699999999999</v>
      </c>
      <c r="K31" s="17">
        <f t="shared" si="2"/>
        <v>8096.2380399999993</v>
      </c>
      <c r="L31" s="18">
        <f>K31/E31</f>
        <v>0.9457201714277671</v>
      </c>
      <c r="M31" s="25">
        <v>10138.620870000001</v>
      </c>
      <c r="N31" s="25">
        <v>1.7227699999999999</v>
      </c>
      <c r="O31" s="17">
        <f t="shared" si="3"/>
        <v>10136.8981</v>
      </c>
      <c r="P31" s="25">
        <v>4877.43</v>
      </c>
      <c r="Q31" s="25"/>
      <c r="R31" s="17">
        <f t="shared" si="4"/>
        <v>4877.43</v>
      </c>
      <c r="S31" s="25"/>
      <c r="T31" s="25"/>
      <c r="U31" s="17">
        <f t="shared" si="6"/>
        <v>0</v>
      </c>
      <c r="V31" s="18">
        <f>U31/E31</f>
        <v>0</v>
      </c>
    </row>
    <row r="32" spans="1:22" ht="25.5" x14ac:dyDescent="0.25">
      <c r="A32" s="23" t="s">
        <v>49</v>
      </c>
      <c r="B32" s="31" t="s">
        <v>50</v>
      </c>
      <c r="C32" s="25">
        <v>14070.86089</v>
      </c>
      <c r="D32" s="25"/>
      <c r="E32" s="17">
        <f t="shared" si="0"/>
        <v>14070.86089</v>
      </c>
      <c r="F32" s="25">
        <v>6194.5</v>
      </c>
      <c r="G32" s="25"/>
      <c r="H32" s="17">
        <f t="shared" si="1"/>
        <v>6194.5</v>
      </c>
      <c r="I32" s="25">
        <v>15975.089749999999</v>
      </c>
      <c r="J32" s="25"/>
      <c r="K32" s="17">
        <f t="shared" si="2"/>
        <v>15975.089749999999</v>
      </c>
      <c r="L32" s="18">
        <f>K32/E32</f>
        <v>1.1353313684845903</v>
      </c>
      <c r="M32" s="25">
        <v>16748.63061</v>
      </c>
      <c r="N32" s="25"/>
      <c r="O32" s="17">
        <f t="shared" si="3"/>
        <v>16748.63061</v>
      </c>
      <c r="P32" s="25">
        <v>3804.34</v>
      </c>
      <c r="Q32" s="25"/>
      <c r="R32" s="17">
        <f t="shared" si="4"/>
        <v>3804.34</v>
      </c>
      <c r="S32" s="25">
        <v>750</v>
      </c>
      <c r="T32" s="25"/>
      <c r="U32" s="17">
        <f t="shared" si="6"/>
        <v>750</v>
      </c>
      <c r="V32" s="18">
        <f>U32/E32</f>
        <v>5.330164272557171E-2</v>
      </c>
    </row>
    <row r="33" spans="1:22" x14ac:dyDescent="0.25">
      <c r="A33" s="23" t="s">
        <v>51</v>
      </c>
      <c r="B33" s="31" t="s">
        <v>52</v>
      </c>
      <c r="C33" s="25">
        <v>2483.4390600000002</v>
      </c>
      <c r="D33" s="25">
        <v>104.60899000000001</v>
      </c>
      <c r="E33" s="17">
        <f t="shared" si="0"/>
        <v>2378.83007</v>
      </c>
      <c r="F33" s="25">
        <v>703.5</v>
      </c>
      <c r="G33" s="25"/>
      <c r="H33" s="17">
        <f t="shared" si="1"/>
        <v>703.5</v>
      </c>
      <c r="I33" s="25">
        <v>1724.9988000000001</v>
      </c>
      <c r="J33" s="25"/>
      <c r="K33" s="17">
        <f t="shared" si="2"/>
        <v>1724.9988000000001</v>
      </c>
      <c r="L33" s="18">
        <f>K33/E33</f>
        <v>0.72514586970896999</v>
      </c>
      <c r="M33" s="25">
        <v>3834.3883599999999</v>
      </c>
      <c r="N33" s="25"/>
      <c r="O33" s="17">
        <f t="shared" si="3"/>
        <v>3834.3883599999999</v>
      </c>
      <c r="P33" s="25">
        <v>1089.24</v>
      </c>
      <c r="Q33" s="25"/>
      <c r="R33" s="17">
        <f t="shared" si="4"/>
        <v>1089.24</v>
      </c>
      <c r="S33" s="25">
        <v>0</v>
      </c>
      <c r="T33" s="25"/>
      <c r="U33" s="17">
        <f t="shared" si="6"/>
        <v>0</v>
      </c>
      <c r="V33" s="18">
        <f>U33/E33</f>
        <v>0</v>
      </c>
    </row>
    <row r="34" spans="1:22" x14ac:dyDescent="0.25">
      <c r="A34" s="32"/>
      <c r="B34" s="33" t="s">
        <v>7</v>
      </c>
      <c r="C34" s="34"/>
      <c r="D34" s="34"/>
      <c r="E34" s="35"/>
      <c r="F34" s="34"/>
      <c r="G34" s="34"/>
      <c r="H34" s="35"/>
      <c r="I34" s="25"/>
      <c r="J34" s="34"/>
      <c r="K34" s="35"/>
      <c r="L34" s="36"/>
      <c r="M34" s="34"/>
      <c r="N34" s="34"/>
      <c r="O34" s="35"/>
      <c r="P34" s="25"/>
      <c r="Q34" s="34"/>
      <c r="R34" s="35"/>
      <c r="S34" s="25"/>
      <c r="T34" s="34"/>
      <c r="U34" s="35"/>
      <c r="V34" s="36"/>
    </row>
    <row r="35" spans="1:22" ht="38.25" x14ac:dyDescent="0.25">
      <c r="A35" s="23"/>
      <c r="B35" s="31" t="s">
        <v>53</v>
      </c>
      <c r="C35" s="25">
        <v>0</v>
      </c>
      <c r="D35" s="25"/>
      <c r="E35" s="17">
        <f>C35-D35</f>
        <v>0</v>
      </c>
      <c r="F35" s="25">
        <v>0</v>
      </c>
      <c r="G35" s="25"/>
      <c r="H35" s="17">
        <f>F35-G35</f>
        <v>0</v>
      </c>
      <c r="I35" s="25">
        <f>F35</f>
        <v>0</v>
      </c>
      <c r="J35" s="25"/>
      <c r="K35" s="17">
        <f>I35-J35</f>
        <v>0</v>
      </c>
      <c r="L35" s="18" t="e">
        <f t="shared" ref="L35:L53" si="8">K35/E35</f>
        <v>#DIV/0!</v>
      </c>
      <c r="M35" s="25"/>
      <c r="N35" s="25"/>
      <c r="O35" s="17">
        <f>M35-N35</f>
        <v>0</v>
      </c>
      <c r="P35" s="25">
        <v>0</v>
      </c>
      <c r="Q35" s="25"/>
      <c r="R35" s="17">
        <f>P35-Q35</f>
        <v>0</v>
      </c>
      <c r="S35" s="25"/>
      <c r="T35" s="25"/>
      <c r="U35" s="17">
        <f>S35-T35</f>
        <v>0</v>
      </c>
      <c r="V35" s="18" t="e">
        <f t="shared" ref="V35:V53" si="9">U35/E35</f>
        <v>#DIV/0!</v>
      </c>
    </row>
    <row r="36" spans="1:22" x14ac:dyDescent="0.25">
      <c r="A36" s="23" t="s">
        <v>54</v>
      </c>
      <c r="B36" s="24" t="s">
        <v>55</v>
      </c>
      <c r="C36" s="25">
        <v>302.49918000000002</v>
      </c>
      <c r="D36" s="25">
        <v>235</v>
      </c>
      <c r="E36" s="17">
        <f t="shared" si="0"/>
        <v>67.499180000000024</v>
      </c>
      <c r="F36" s="25">
        <v>0</v>
      </c>
      <c r="G36" s="25"/>
      <c r="H36" s="17">
        <f t="shared" si="1"/>
        <v>0</v>
      </c>
      <c r="I36" s="25">
        <v>2597.4488799999999</v>
      </c>
      <c r="J36" s="25">
        <v>2526.5</v>
      </c>
      <c r="K36" s="17">
        <f t="shared" si="2"/>
        <v>70.948879999999917</v>
      </c>
      <c r="L36" s="18">
        <f t="shared" si="8"/>
        <v>1.0511072875255654</v>
      </c>
      <c r="M36" s="25">
        <v>2871.0531799999999</v>
      </c>
      <c r="N36" s="25">
        <v>2526.5</v>
      </c>
      <c r="O36" s="17">
        <f t="shared" si="3"/>
        <v>344.55317999999988</v>
      </c>
      <c r="P36" s="25">
        <v>0</v>
      </c>
      <c r="Q36" s="25"/>
      <c r="R36" s="17">
        <f t="shared" si="4"/>
        <v>0</v>
      </c>
      <c r="S36" s="25">
        <v>0</v>
      </c>
      <c r="T36" s="25">
        <v>0</v>
      </c>
      <c r="U36" s="17">
        <f t="shared" si="6"/>
        <v>0</v>
      </c>
      <c r="V36" s="18">
        <f t="shared" si="9"/>
        <v>0</v>
      </c>
    </row>
    <row r="37" spans="1:22" x14ac:dyDescent="0.25">
      <c r="A37" s="37" t="s">
        <v>56</v>
      </c>
      <c r="B37" s="15" t="s">
        <v>57</v>
      </c>
      <c r="C37" s="16">
        <f>C38+C47+C49+C48</f>
        <v>2056031.1936999999</v>
      </c>
      <c r="D37" s="16">
        <f>D38+D47+D49+D48</f>
        <v>1697621.4310699999</v>
      </c>
      <c r="E37" s="29">
        <f t="shared" si="0"/>
        <v>358409.76263000001</v>
      </c>
      <c r="F37" s="16">
        <f>F38+F47+F49+F48</f>
        <v>2085193.2004499999</v>
      </c>
      <c r="G37" s="16">
        <f>G38+G47+G49+G48</f>
        <v>1804128.5594499998</v>
      </c>
      <c r="H37" s="29">
        <f t="shared" si="1"/>
        <v>281064.64100000006</v>
      </c>
      <c r="I37" s="16">
        <f>I38+I47+I49+I48</f>
        <v>2594956.5547099998</v>
      </c>
      <c r="J37" s="16">
        <f>J38+J47+J49+J48</f>
        <v>2272425.1870399998</v>
      </c>
      <c r="K37" s="29">
        <f t="shared" si="2"/>
        <v>322531.36767000007</v>
      </c>
      <c r="L37" s="30">
        <f t="shared" si="8"/>
        <v>0.89989559799731633</v>
      </c>
      <c r="M37" s="16">
        <f>M38+M47+M49+M48</f>
        <v>2628546.7669800003</v>
      </c>
      <c r="N37" s="16">
        <f>N38+N47+N49+N48</f>
        <v>2306013.4657399999</v>
      </c>
      <c r="O37" s="29">
        <f t="shared" si="3"/>
        <v>322533.30124000041</v>
      </c>
      <c r="P37" s="16">
        <f>P38+P47+P49+P48</f>
        <v>2820267.0976800001</v>
      </c>
      <c r="Q37" s="16">
        <f>Q38+Q47+Q49+Q48</f>
        <v>2473144.59968</v>
      </c>
      <c r="R37" s="29">
        <f t="shared" si="4"/>
        <v>347122.49800000014</v>
      </c>
      <c r="S37" s="16">
        <f>S38+S47+S49+S48</f>
        <v>63534.880000000005</v>
      </c>
      <c r="T37" s="16">
        <f>T38+T47+T49+T48</f>
        <v>63534.880000000005</v>
      </c>
      <c r="U37" s="29">
        <f>S37-T37</f>
        <v>0</v>
      </c>
      <c r="V37" s="30">
        <f t="shared" si="9"/>
        <v>0</v>
      </c>
    </row>
    <row r="38" spans="1:22" ht="26.25" x14ac:dyDescent="0.25">
      <c r="A38" s="23" t="s">
        <v>58</v>
      </c>
      <c r="B38" s="24" t="s">
        <v>59</v>
      </c>
      <c r="C38" s="38">
        <f>C39+C43+C45+C46</f>
        <v>2014384.6881200001</v>
      </c>
      <c r="D38" s="38">
        <f>D39+D43+D45+D46</f>
        <v>1668095.34412</v>
      </c>
      <c r="E38" s="17">
        <f t="shared" si="0"/>
        <v>346289.34400000004</v>
      </c>
      <c r="F38" s="38">
        <f>F39+F43+F45+F46</f>
        <v>2085193.2004499999</v>
      </c>
      <c r="G38" s="38">
        <f>G39+G43+G45+G46</f>
        <v>1804128.5594499998</v>
      </c>
      <c r="H38" s="17">
        <f t="shared" si="1"/>
        <v>281064.64100000006</v>
      </c>
      <c r="I38" s="38">
        <f>I39+I43+I45+I46</f>
        <v>2422437.0577199999</v>
      </c>
      <c r="J38" s="38">
        <f>J39+J43+J45+J46</f>
        <v>2137014.22541</v>
      </c>
      <c r="K38" s="17">
        <f t="shared" si="2"/>
        <v>285422.83230999997</v>
      </c>
      <c r="L38" s="18">
        <f t="shared" si="8"/>
        <v>0.82423221290343818</v>
      </c>
      <c r="M38" s="38">
        <f>M39+M43+M45+M46</f>
        <v>2420962.1232000003</v>
      </c>
      <c r="N38" s="38">
        <f>N39+N43+N45+N46</f>
        <v>2135539.2911399999</v>
      </c>
      <c r="O38" s="17">
        <f t="shared" si="3"/>
        <v>285422.83206000039</v>
      </c>
      <c r="P38" s="38">
        <f>P39+P43+P45+P46</f>
        <v>2820267.0976800001</v>
      </c>
      <c r="Q38" s="38">
        <f>Q39+Q43+Q45+Q46</f>
        <v>2473144.59968</v>
      </c>
      <c r="R38" s="17">
        <f t="shared" si="4"/>
        <v>347122.49800000014</v>
      </c>
      <c r="S38" s="38">
        <f>S39+S43+S45+S46</f>
        <v>63534.880000000005</v>
      </c>
      <c r="T38" s="38">
        <f>T39+T43+T45+T46</f>
        <v>63534.880000000005</v>
      </c>
      <c r="U38" s="17">
        <f>S38-T38</f>
        <v>0</v>
      </c>
      <c r="V38" s="18">
        <f t="shared" si="9"/>
        <v>0</v>
      </c>
    </row>
    <row r="39" spans="1:22" x14ac:dyDescent="0.25">
      <c r="A39" s="23" t="s">
        <v>18</v>
      </c>
      <c r="B39" s="24" t="s">
        <v>60</v>
      </c>
      <c r="C39" s="25">
        <f>C40+C41</f>
        <v>346289.34399999998</v>
      </c>
      <c r="D39" s="114"/>
      <c r="E39" s="17">
        <f>C39-D39</f>
        <v>346289.34399999998</v>
      </c>
      <c r="F39" s="25">
        <f>F40+F41+F42</f>
        <v>281064.641</v>
      </c>
      <c r="G39" s="114"/>
      <c r="H39" s="17">
        <f>F39-G39</f>
        <v>281064.641</v>
      </c>
      <c r="I39" s="25">
        <f>I40+I41+I42</f>
        <v>284227.23230999999</v>
      </c>
      <c r="J39" s="114"/>
      <c r="K39" s="17">
        <f>I39-J39</f>
        <v>284227.23230999999</v>
      </c>
      <c r="L39" s="18">
        <f t="shared" si="8"/>
        <v>0.82077960882908374</v>
      </c>
      <c r="M39" s="25">
        <f>M40+M41+M42</f>
        <v>284227.23206000001</v>
      </c>
      <c r="N39" s="114"/>
      <c r="O39" s="17">
        <f>M39-N39</f>
        <v>284227.23206000001</v>
      </c>
      <c r="P39" s="25">
        <f>P41+P40+P42</f>
        <v>347122.49800000002</v>
      </c>
      <c r="Q39" s="114"/>
      <c r="R39" s="17">
        <f>P39-Q39</f>
        <v>347122.49800000002</v>
      </c>
      <c r="S39" s="25">
        <f>S40+S41+S42</f>
        <v>0</v>
      </c>
      <c r="T39" s="114"/>
      <c r="U39" s="17">
        <f>S39-T39</f>
        <v>0</v>
      </c>
      <c r="V39" s="18">
        <f t="shared" si="9"/>
        <v>0</v>
      </c>
    </row>
    <row r="40" spans="1:22" x14ac:dyDescent="0.25">
      <c r="A40" s="23"/>
      <c r="B40" s="24" t="s">
        <v>61</v>
      </c>
      <c r="C40" s="25">
        <v>255091.94899999999</v>
      </c>
      <c r="D40" s="114"/>
      <c r="E40" s="17">
        <f>C40-D40</f>
        <v>255091.94899999999</v>
      </c>
      <c r="F40" s="25">
        <v>240840.44</v>
      </c>
      <c r="G40" s="114"/>
      <c r="H40" s="17">
        <f t="shared" si="1"/>
        <v>240840.44</v>
      </c>
      <c r="I40" s="25">
        <v>240840.44</v>
      </c>
      <c r="J40" s="114"/>
      <c r="K40" s="17">
        <f t="shared" si="2"/>
        <v>240840.44</v>
      </c>
      <c r="L40" s="18">
        <f t="shared" si="8"/>
        <v>0.94413187458142789</v>
      </c>
      <c r="M40" s="25">
        <v>240840.44</v>
      </c>
      <c r="N40" s="114"/>
      <c r="O40" s="17">
        <f t="shared" si="3"/>
        <v>240840.44</v>
      </c>
      <c r="P40" s="25">
        <v>347122.49800000002</v>
      </c>
      <c r="Q40" s="114"/>
      <c r="R40" s="17">
        <f t="shared" si="4"/>
        <v>347122.49800000002</v>
      </c>
      <c r="S40" s="25">
        <v>0</v>
      </c>
      <c r="T40" s="114"/>
      <c r="U40" s="17">
        <f t="shared" si="6"/>
        <v>0</v>
      </c>
      <c r="V40" s="18">
        <f t="shared" si="9"/>
        <v>0</v>
      </c>
    </row>
    <row r="41" spans="1:22" x14ac:dyDescent="0.25">
      <c r="A41" s="23"/>
      <c r="B41" s="24" t="s">
        <v>62</v>
      </c>
      <c r="C41" s="25">
        <v>91197.395000000004</v>
      </c>
      <c r="D41" s="114"/>
      <c r="E41" s="17">
        <f t="shared" si="0"/>
        <v>91197.395000000004</v>
      </c>
      <c r="F41" s="25">
        <v>40224.201000000001</v>
      </c>
      <c r="G41" s="114"/>
      <c r="H41" s="17">
        <f t="shared" si="1"/>
        <v>40224.201000000001</v>
      </c>
      <c r="I41" s="25">
        <v>41665.506999999998</v>
      </c>
      <c r="J41" s="114"/>
      <c r="K41" s="17">
        <f t="shared" si="2"/>
        <v>41665.506999999998</v>
      </c>
      <c r="L41" s="18">
        <f t="shared" si="8"/>
        <v>0.4568716792842602</v>
      </c>
      <c r="M41" s="25">
        <v>41665.506999999998</v>
      </c>
      <c r="N41" s="114"/>
      <c r="O41" s="17">
        <f t="shared" si="3"/>
        <v>41665.506999999998</v>
      </c>
      <c r="P41" s="25">
        <v>0</v>
      </c>
      <c r="Q41" s="114"/>
      <c r="R41" s="17">
        <f t="shared" si="4"/>
        <v>0</v>
      </c>
      <c r="S41" s="25">
        <v>0</v>
      </c>
      <c r="T41" s="114"/>
      <c r="U41" s="17">
        <f t="shared" si="6"/>
        <v>0</v>
      </c>
      <c r="V41" s="18">
        <f t="shared" si="9"/>
        <v>0</v>
      </c>
    </row>
    <row r="42" spans="1:22" x14ac:dyDescent="0.25">
      <c r="A42" s="23"/>
      <c r="B42" s="24" t="s">
        <v>63</v>
      </c>
      <c r="C42" s="25"/>
      <c r="D42" s="114"/>
      <c r="E42" s="17">
        <f t="shared" si="0"/>
        <v>0</v>
      </c>
      <c r="F42" s="25"/>
      <c r="G42" s="114"/>
      <c r="H42" s="17">
        <f t="shared" si="1"/>
        <v>0</v>
      </c>
      <c r="I42" s="25">
        <v>1721.28531</v>
      </c>
      <c r="J42" s="114"/>
      <c r="K42" s="17">
        <f t="shared" si="2"/>
        <v>1721.28531</v>
      </c>
      <c r="L42" s="18" t="e">
        <f t="shared" si="8"/>
        <v>#DIV/0!</v>
      </c>
      <c r="M42" s="25">
        <v>1721.2850599999999</v>
      </c>
      <c r="N42" s="114"/>
      <c r="O42" s="17">
        <f t="shared" si="3"/>
        <v>1721.2850599999999</v>
      </c>
      <c r="P42" s="25">
        <v>0</v>
      </c>
      <c r="Q42" s="114"/>
      <c r="R42" s="17">
        <f t="shared" si="4"/>
        <v>0</v>
      </c>
      <c r="S42" s="25">
        <v>0</v>
      </c>
      <c r="T42" s="114"/>
      <c r="U42" s="17">
        <f t="shared" si="6"/>
        <v>0</v>
      </c>
      <c r="V42" s="18" t="e">
        <f t="shared" si="9"/>
        <v>#DIV/0!</v>
      </c>
    </row>
    <row r="43" spans="1:22" x14ac:dyDescent="0.25">
      <c r="A43" s="23" t="s">
        <v>20</v>
      </c>
      <c r="B43" s="24" t="s">
        <v>64</v>
      </c>
      <c r="C43" s="25">
        <v>641491.73563000001</v>
      </c>
      <c r="D43" s="114">
        <f>C43</f>
        <v>641491.73563000001</v>
      </c>
      <c r="E43" s="17">
        <f t="shared" si="0"/>
        <v>0</v>
      </c>
      <c r="F43" s="25">
        <v>607345.67221999995</v>
      </c>
      <c r="G43" s="114">
        <f>F43</f>
        <v>607345.67221999995</v>
      </c>
      <c r="H43" s="17">
        <f t="shared" si="1"/>
        <v>0</v>
      </c>
      <c r="I43" s="25">
        <v>911134.31096000003</v>
      </c>
      <c r="J43" s="114">
        <f>I43</f>
        <v>911134.31096000003</v>
      </c>
      <c r="K43" s="17">
        <f t="shared" si="2"/>
        <v>0</v>
      </c>
      <c r="L43" s="18" t="e">
        <f t="shared" si="8"/>
        <v>#DIV/0!</v>
      </c>
      <c r="M43" s="25">
        <v>915191.54888999998</v>
      </c>
      <c r="N43" s="114">
        <f>M43</f>
        <v>915191.54888999998</v>
      </c>
      <c r="O43" s="17">
        <f t="shared" si="3"/>
        <v>0</v>
      </c>
      <c r="P43" s="25">
        <v>1232283.9196899999</v>
      </c>
      <c r="Q43" s="114">
        <f>P43</f>
        <v>1232283.9196899999</v>
      </c>
      <c r="R43" s="17">
        <f t="shared" si="4"/>
        <v>0</v>
      </c>
      <c r="S43" s="25">
        <v>17523.88</v>
      </c>
      <c r="T43" s="114">
        <f>S43</f>
        <v>17523.88</v>
      </c>
      <c r="U43" s="17">
        <f>S43-T43</f>
        <v>0</v>
      </c>
      <c r="V43" s="18" t="e">
        <f t="shared" si="9"/>
        <v>#DIV/0!</v>
      </c>
    </row>
    <row r="44" spans="1:22" x14ac:dyDescent="0.25">
      <c r="A44" s="23"/>
      <c r="B44" s="24" t="s">
        <v>65</v>
      </c>
      <c r="C44" s="25">
        <v>157746.00096999999</v>
      </c>
      <c r="D44" s="114">
        <f>C44</f>
        <v>157746.00096999999</v>
      </c>
      <c r="E44" s="17">
        <f t="shared" si="0"/>
        <v>0</v>
      </c>
      <c r="F44" s="25">
        <v>50741.683369999999</v>
      </c>
      <c r="G44" s="114">
        <f>F44</f>
        <v>50741.683369999999</v>
      </c>
      <c r="H44" s="17">
        <f t="shared" si="1"/>
        <v>0</v>
      </c>
      <c r="I44" s="25">
        <v>125690.16314</v>
      </c>
      <c r="J44" s="114">
        <f>I44</f>
        <v>125690.16314</v>
      </c>
      <c r="K44" s="17">
        <f t="shared" si="2"/>
        <v>0</v>
      </c>
      <c r="L44" s="18" t="e">
        <f t="shared" si="8"/>
        <v>#DIV/0!</v>
      </c>
      <c r="M44" s="25">
        <v>125690.16314</v>
      </c>
      <c r="N44" s="114">
        <f>M44</f>
        <v>125690.16314</v>
      </c>
      <c r="O44" s="17">
        <f t="shared" si="3"/>
        <v>0</v>
      </c>
      <c r="P44" s="25">
        <v>283279.57037999999</v>
      </c>
      <c r="Q44" s="114">
        <f>P44</f>
        <v>283279.57037999999</v>
      </c>
      <c r="R44" s="17">
        <f t="shared" si="4"/>
        <v>0</v>
      </c>
      <c r="S44" s="25">
        <v>0</v>
      </c>
      <c r="T44" s="114">
        <f>S44</f>
        <v>0</v>
      </c>
      <c r="U44" s="17">
        <f t="shared" si="6"/>
        <v>0</v>
      </c>
      <c r="V44" s="18" t="e">
        <f t="shared" si="9"/>
        <v>#DIV/0!</v>
      </c>
    </row>
    <row r="45" spans="1:22" x14ac:dyDescent="0.25">
      <c r="A45" s="23" t="s">
        <v>22</v>
      </c>
      <c r="B45" s="24" t="s">
        <v>66</v>
      </c>
      <c r="C45" s="25">
        <v>976179.08403000003</v>
      </c>
      <c r="D45" s="114">
        <f>C45</f>
        <v>976179.08403000003</v>
      </c>
      <c r="E45" s="17">
        <f t="shared" si="0"/>
        <v>0</v>
      </c>
      <c r="F45" s="25">
        <v>1144499.0872299999</v>
      </c>
      <c r="G45" s="114">
        <f>F45</f>
        <v>1144499.0872299999</v>
      </c>
      <c r="H45" s="17">
        <f t="shared" si="1"/>
        <v>0</v>
      </c>
      <c r="I45" s="25">
        <v>1106374.79645</v>
      </c>
      <c r="J45" s="114">
        <f>I45</f>
        <v>1106374.79645</v>
      </c>
      <c r="K45" s="17">
        <f t="shared" si="2"/>
        <v>0</v>
      </c>
      <c r="L45" s="18" t="e">
        <f t="shared" si="8"/>
        <v>#DIV/0!</v>
      </c>
      <c r="M45" s="25">
        <v>1098742.22691</v>
      </c>
      <c r="N45" s="114">
        <f>M45</f>
        <v>1098742.22691</v>
      </c>
      <c r="O45" s="17">
        <f t="shared" si="3"/>
        <v>0</v>
      </c>
      <c r="P45" s="25">
        <v>1159777.07999</v>
      </c>
      <c r="Q45" s="114">
        <f>P45</f>
        <v>1159777.07999</v>
      </c>
      <c r="R45" s="17">
        <f t="shared" si="4"/>
        <v>0</v>
      </c>
      <c r="S45" s="25">
        <v>46011</v>
      </c>
      <c r="T45" s="114">
        <f>S45</f>
        <v>46011</v>
      </c>
      <c r="U45" s="17">
        <f>S45-T45</f>
        <v>0</v>
      </c>
      <c r="V45" s="18" t="e">
        <f t="shared" si="9"/>
        <v>#DIV/0!</v>
      </c>
    </row>
    <row r="46" spans="1:22" x14ac:dyDescent="0.25">
      <c r="A46" s="23" t="s">
        <v>28</v>
      </c>
      <c r="B46" s="24" t="s">
        <v>67</v>
      </c>
      <c r="C46" s="25">
        <v>50424.524460000001</v>
      </c>
      <c r="D46" s="114">
        <f>C46</f>
        <v>50424.524460000001</v>
      </c>
      <c r="E46" s="17">
        <f t="shared" si="0"/>
        <v>0</v>
      </c>
      <c r="F46" s="25">
        <v>52283.8</v>
      </c>
      <c r="G46" s="114">
        <f>F46</f>
        <v>52283.8</v>
      </c>
      <c r="H46" s="17">
        <f t="shared" si="1"/>
        <v>0</v>
      </c>
      <c r="I46" s="25">
        <v>120700.71799999999</v>
      </c>
      <c r="J46" s="114">
        <v>119505.118</v>
      </c>
      <c r="K46" s="17">
        <f t="shared" si="2"/>
        <v>1195.5999999999913</v>
      </c>
      <c r="L46" s="18" t="e">
        <f t="shared" si="8"/>
        <v>#DIV/0!</v>
      </c>
      <c r="M46" s="25">
        <v>122801.11534</v>
      </c>
      <c r="N46" s="114">
        <v>121605.51534</v>
      </c>
      <c r="O46" s="17">
        <f t="shared" si="3"/>
        <v>1195.6000000000058</v>
      </c>
      <c r="P46" s="25">
        <v>81083.600000000006</v>
      </c>
      <c r="Q46" s="114">
        <f>P46</f>
        <v>81083.600000000006</v>
      </c>
      <c r="R46" s="17">
        <f t="shared" si="4"/>
        <v>0</v>
      </c>
      <c r="S46" s="25"/>
      <c r="T46" s="114">
        <f t="shared" ref="T46:T47" si="10">S46</f>
        <v>0</v>
      </c>
      <c r="U46" s="17">
        <f t="shared" si="6"/>
        <v>0</v>
      </c>
      <c r="V46" s="18" t="e">
        <f t="shared" si="9"/>
        <v>#DIV/0!</v>
      </c>
    </row>
    <row r="47" spans="1:22" x14ac:dyDescent="0.25">
      <c r="A47" s="23" t="s">
        <v>68</v>
      </c>
      <c r="B47" s="24" t="s">
        <v>69</v>
      </c>
      <c r="C47" s="25">
        <v>31522.46</v>
      </c>
      <c r="D47" s="114">
        <f>C47</f>
        <v>31522.46</v>
      </c>
      <c r="E47" s="17">
        <f>C47-D47</f>
        <v>0</v>
      </c>
      <c r="F47" s="25"/>
      <c r="G47" s="25"/>
      <c r="H47" s="17">
        <f t="shared" si="1"/>
        <v>0</v>
      </c>
      <c r="I47" s="25">
        <v>128555.94078999999</v>
      </c>
      <c r="J47" s="25">
        <f>I47</f>
        <v>128555.94078999999</v>
      </c>
      <c r="K47" s="17">
        <f t="shared" si="2"/>
        <v>0</v>
      </c>
      <c r="L47" s="18" t="e">
        <f t="shared" si="8"/>
        <v>#DIV/0!</v>
      </c>
      <c r="M47" s="25">
        <v>167090</v>
      </c>
      <c r="N47" s="25">
        <v>167090</v>
      </c>
      <c r="O47" s="17">
        <f t="shared" si="3"/>
        <v>0</v>
      </c>
      <c r="P47" s="25">
        <v>0</v>
      </c>
      <c r="Q47" s="25"/>
      <c r="R47" s="17">
        <f t="shared" si="4"/>
        <v>0</v>
      </c>
      <c r="S47" s="25"/>
      <c r="T47" s="114">
        <f t="shared" si="10"/>
        <v>0</v>
      </c>
      <c r="U47" s="17">
        <f t="shared" si="6"/>
        <v>0</v>
      </c>
      <c r="V47" s="18" t="e">
        <f t="shared" si="9"/>
        <v>#DIV/0!</v>
      </c>
    </row>
    <row r="48" spans="1:22" ht="51.75" x14ac:dyDescent="0.25">
      <c r="A48" s="23" t="s">
        <v>70</v>
      </c>
      <c r="B48" s="24" t="s">
        <v>71</v>
      </c>
      <c r="C48" s="25">
        <v>14464.607900000001</v>
      </c>
      <c r="D48" s="114">
        <v>2344.1892699999999</v>
      </c>
      <c r="E48" s="17">
        <f>C48-D48</f>
        <v>12120.41863</v>
      </c>
      <c r="F48" s="25">
        <v>0</v>
      </c>
      <c r="G48" s="25"/>
      <c r="H48" s="17">
        <f t="shared" si="1"/>
        <v>0</v>
      </c>
      <c r="I48" s="25">
        <v>43963.556199999999</v>
      </c>
      <c r="J48" s="25">
        <f>2298.18936+4556.83148</f>
        <v>6855.0208399999992</v>
      </c>
      <c r="K48" s="17">
        <f t="shared" si="2"/>
        <v>37108.535360000002</v>
      </c>
      <c r="L48" s="18">
        <f t="shared" si="8"/>
        <v>3.0616545923711218</v>
      </c>
      <c r="M48" s="25">
        <v>399553.10664999997</v>
      </c>
      <c r="N48" s="25">
        <f>2298.18936+360144.44811</f>
        <v>362442.63747000002</v>
      </c>
      <c r="O48" s="17">
        <f t="shared" si="3"/>
        <v>37110.469179999956</v>
      </c>
      <c r="P48" s="25">
        <v>0</v>
      </c>
      <c r="Q48" s="25"/>
      <c r="R48" s="17">
        <f t="shared" si="4"/>
        <v>0</v>
      </c>
      <c r="S48" s="25">
        <v>0</v>
      </c>
      <c r="T48" s="114">
        <v>0</v>
      </c>
      <c r="U48" s="17">
        <f t="shared" si="6"/>
        <v>0</v>
      </c>
      <c r="V48" s="18">
        <f t="shared" si="9"/>
        <v>0</v>
      </c>
    </row>
    <row r="49" spans="1:22" ht="39" x14ac:dyDescent="0.25">
      <c r="A49" s="23" t="s">
        <v>72</v>
      </c>
      <c r="B49" s="24" t="s">
        <v>73</v>
      </c>
      <c r="C49" s="25">
        <v>-4340.56232</v>
      </c>
      <c r="D49" s="114">
        <f>C49</f>
        <v>-4340.56232</v>
      </c>
      <c r="E49" s="17">
        <f t="shared" si="0"/>
        <v>0</v>
      </c>
      <c r="F49" s="25">
        <v>0</v>
      </c>
      <c r="G49" s="25"/>
      <c r="H49" s="17">
        <f t="shared" si="1"/>
        <v>0</v>
      </c>
      <c r="I49" s="25"/>
      <c r="J49" s="25">
        <v>0</v>
      </c>
      <c r="K49" s="17">
        <f t="shared" si="2"/>
        <v>0</v>
      </c>
      <c r="L49" s="18" t="e">
        <f t="shared" si="8"/>
        <v>#DIV/0!</v>
      </c>
      <c r="M49" s="25">
        <v>-359058.46286999999</v>
      </c>
      <c r="N49" s="25">
        <v>-359058.46286999999</v>
      </c>
      <c r="O49" s="17">
        <f t="shared" si="3"/>
        <v>0</v>
      </c>
      <c r="P49" s="25">
        <v>0</v>
      </c>
      <c r="Q49" s="25"/>
      <c r="R49" s="17">
        <f t="shared" si="4"/>
        <v>0</v>
      </c>
      <c r="S49" s="25"/>
      <c r="T49" s="114"/>
      <c r="U49" s="17">
        <f t="shared" si="6"/>
        <v>0</v>
      </c>
      <c r="V49" s="18" t="e">
        <f t="shared" si="9"/>
        <v>#DIV/0!</v>
      </c>
    </row>
    <row r="50" spans="1:22" x14ac:dyDescent="0.25">
      <c r="A50" s="39"/>
      <c r="B50" s="40" t="s">
        <v>74</v>
      </c>
      <c r="C50" s="17">
        <f t="shared" ref="C50:K50" si="11">C6</f>
        <v>3194061.4070100002</v>
      </c>
      <c r="D50" s="17">
        <f t="shared" si="11"/>
        <v>1699506.54746</v>
      </c>
      <c r="E50" s="17">
        <f t="shared" si="11"/>
        <v>1494554.8595500002</v>
      </c>
      <c r="F50" s="17">
        <f t="shared" si="11"/>
        <v>3224206.2004499999</v>
      </c>
      <c r="G50" s="17">
        <f t="shared" si="11"/>
        <v>1804128.5594499998</v>
      </c>
      <c r="H50" s="17">
        <f t="shared" si="11"/>
        <v>1420077.6410000001</v>
      </c>
      <c r="I50" s="17">
        <f t="shared" si="11"/>
        <v>3804146.5867099995</v>
      </c>
      <c r="J50" s="17">
        <f t="shared" si="11"/>
        <v>2274953.4098099996</v>
      </c>
      <c r="K50" s="17">
        <f t="shared" si="11"/>
        <v>1529193.1768999998</v>
      </c>
      <c r="L50" s="18">
        <f t="shared" si="8"/>
        <v>1.0231763438649746</v>
      </c>
      <c r="M50" s="17">
        <f t="shared" ref="M50:R50" si="12">M6</f>
        <v>3840283.8824300002</v>
      </c>
      <c r="N50" s="17">
        <f t="shared" si="12"/>
        <v>2308541.6885099998</v>
      </c>
      <c r="O50" s="17">
        <f t="shared" si="12"/>
        <v>1531742.1939200005</v>
      </c>
      <c r="P50" s="17">
        <f t="shared" si="12"/>
        <v>3994461.72768</v>
      </c>
      <c r="Q50" s="17">
        <f t="shared" si="12"/>
        <v>2473144.59968</v>
      </c>
      <c r="R50" s="17">
        <f t="shared" si="12"/>
        <v>1521317.128</v>
      </c>
      <c r="S50" s="17">
        <f>S6</f>
        <v>94142.680000000008</v>
      </c>
      <c r="T50" s="17">
        <f>T6</f>
        <v>63534.880000000005</v>
      </c>
      <c r="U50" s="17">
        <f>U6</f>
        <v>30607.800000000003</v>
      </c>
      <c r="V50" s="18">
        <f t="shared" si="9"/>
        <v>2.0479542657414258E-2</v>
      </c>
    </row>
    <row r="51" spans="1:22" x14ac:dyDescent="0.25">
      <c r="A51" s="41" t="s">
        <v>75</v>
      </c>
      <c r="B51" s="42" t="s">
        <v>76</v>
      </c>
      <c r="C51" s="43">
        <f>C52+C86</f>
        <v>3156519.8926999997</v>
      </c>
      <c r="D51" s="43">
        <f>D52+D86</f>
        <v>1705867.6670299999</v>
      </c>
      <c r="E51" s="44">
        <f>C51-D51</f>
        <v>1450652.2256699998</v>
      </c>
      <c r="F51" s="43">
        <f>F52+F86</f>
        <v>3360107.6049800003</v>
      </c>
      <c r="G51" s="43">
        <f>G52+G86</f>
        <v>1804128.5594500001</v>
      </c>
      <c r="H51" s="44">
        <f>F51-G51</f>
        <v>1555979.0455300002</v>
      </c>
      <c r="I51" s="43">
        <f>I52+I86</f>
        <v>3939979.6174499998</v>
      </c>
      <c r="J51" s="43">
        <f>J52+J86</f>
        <v>2296704.6976800002</v>
      </c>
      <c r="K51" s="44">
        <f>I51-J51</f>
        <v>1643274.9197699996</v>
      </c>
      <c r="L51" s="45">
        <f t="shared" si="8"/>
        <v>1.1327835098526353</v>
      </c>
      <c r="M51" s="43">
        <f>M52+M86</f>
        <v>3747292.3447799999</v>
      </c>
      <c r="N51" s="43">
        <f>N52+N86</f>
        <v>2187765.0036299997</v>
      </c>
      <c r="O51" s="44">
        <f>M51-N51</f>
        <v>1559527.3411500002</v>
      </c>
      <c r="P51" s="43">
        <f>P52+P86</f>
        <v>4109661.7451999998</v>
      </c>
      <c r="Q51" s="43">
        <f>Q52+Q86</f>
        <v>2473144.59968</v>
      </c>
      <c r="R51" s="44">
        <f>P51-Q51</f>
        <v>1636517.1455199998</v>
      </c>
      <c r="S51" s="43">
        <f>S52+S86</f>
        <v>115438.59999999999</v>
      </c>
      <c r="T51" s="43">
        <f>T52+T86</f>
        <v>63535.199999999997</v>
      </c>
      <c r="U51" s="44">
        <f>S51-T51</f>
        <v>51903.399999999994</v>
      </c>
      <c r="V51" s="45">
        <f t="shared" si="9"/>
        <v>3.577935433561813E-2</v>
      </c>
    </row>
    <row r="52" spans="1:22" x14ac:dyDescent="0.25">
      <c r="A52" s="46">
        <v>1</v>
      </c>
      <c r="B52" s="47" t="s">
        <v>77</v>
      </c>
      <c r="C52" s="48">
        <f>C53+C57+C62+C63+C64+C65+C79+C80</f>
        <v>2869715.2678899998</v>
      </c>
      <c r="D52" s="48">
        <f>D53+D57+D62+D63+D64+D65+D79+D80</f>
        <v>1614683.5628099998</v>
      </c>
      <c r="E52" s="38">
        <f>C52-D52</f>
        <v>1255031.70508</v>
      </c>
      <c r="F52" s="48">
        <f>F53+F57+F62+F63+F64+F65+F79+F80</f>
        <v>3080662.1897800001</v>
      </c>
      <c r="G52" s="48">
        <f>G53+G57+G62+G63+G64+G65+G79+G80</f>
        <v>1760364.1242500001</v>
      </c>
      <c r="H52" s="38">
        <f>F52-G52</f>
        <v>1320298.06553</v>
      </c>
      <c r="I52" s="48">
        <f>I53+I57+I62+I63+I64+I65+I79+I80</f>
        <v>3624697.8295899997</v>
      </c>
      <c r="J52" s="48">
        <f>J53+J57+J62+J63+J64+J65+J79+J80</f>
        <v>2205342.4391900003</v>
      </c>
      <c r="K52" s="38">
        <f>I52-J52</f>
        <v>1419355.3903999995</v>
      </c>
      <c r="L52" s="49">
        <f t="shared" si="8"/>
        <v>1.1309318996921476</v>
      </c>
      <c r="M52" s="48">
        <f>M53+M57+M62+M63+M64+M65+M79+M80</f>
        <v>3454817.9940200001</v>
      </c>
      <c r="N52" s="48">
        <f>N53+N57+N62+N63+N64+N65+N79+N80</f>
        <v>2106767.5189399999</v>
      </c>
      <c r="O52" s="38">
        <f>M52-N52</f>
        <v>1348050.4750800002</v>
      </c>
      <c r="P52" s="48">
        <f>P53+P57+P62+P63+P64+P65+P79+P80</f>
        <v>3850499.08225</v>
      </c>
      <c r="Q52" s="48">
        <f>Q53+Q57+Q62+Q63+Q64+Q65+Q79+Q80</f>
        <v>2421598.0477299998</v>
      </c>
      <c r="R52" s="38">
        <f>P52-Q52</f>
        <v>1428901.0345200002</v>
      </c>
      <c r="S52" s="48">
        <f>S53+S57+S62+S63+S64+S65+S79+S80</f>
        <v>111821.4</v>
      </c>
      <c r="T52" s="48">
        <f>T53+T57+T62+T63+T64+T65+T79+T80</f>
        <v>63535.199999999997</v>
      </c>
      <c r="U52" s="38">
        <f>S52-T52</f>
        <v>48286.2</v>
      </c>
      <c r="V52" s="49">
        <f t="shared" si="9"/>
        <v>3.8474087789616494E-2</v>
      </c>
    </row>
    <row r="53" spans="1:22" ht="38.25" x14ac:dyDescent="0.25">
      <c r="A53" s="50" t="s">
        <v>13</v>
      </c>
      <c r="B53" s="31" t="s">
        <v>78</v>
      </c>
      <c r="C53" s="25">
        <f>C55+C56+3187.19324+2441.19454</f>
        <v>182664.83678999997</v>
      </c>
      <c r="D53" s="25">
        <f>D55+D56+435.66146</f>
        <v>16980.25836</v>
      </c>
      <c r="E53" s="38">
        <f t="shared" si="0"/>
        <v>165684.57842999997</v>
      </c>
      <c r="F53" s="25">
        <v>187886.59349999999</v>
      </c>
      <c r="G53" s="25">
        <v>18078.730500000001</v>
      </c>
      <c r="H53" s="38">
        <f t="shared" ref="H53:H104" si="13">F53-G53</f>
        <v>169807.86299999998</v>
      </c>
      <c r="I53" s="25">
        <f>I55+I56+2535.88821+1994.5</f>
        <v>219246.13822000002</v>
      </c>
      <c r="J53" s="25">
        <f>J55+J56+193.81538</f>
        <v>22017.703150000001</v>
      </c>
      <c r="K53" s="38">
        <f t="shared" ref="K53:K104" si="14">I53-J53</f>
        <v>197228.43507000001</v>
      </c>
      <c r="L53" s="49">
        <f t="shared" si="8"/>
        <v>1.1903849889887428</v>
      </c>
      <c r="M53" s="25">
        <f>M55+M56+2463.40078+1800.62364</f>
        <v>218269.59995999999</v>
      </c>
      <c r="N53" s="25">
        <f>N55+N56+193.81538</f>
        <v>21737.819650000001</v>
      </c>
      <c r="O53" s="38">
        <f t="shared" ref="O53:O104" si="15">M53-N53</f>
        <v>196531.78031</v>
      </c>
      <c r="P53" s="25">
        <f>P55+P56+3490+1500</f>
        <v>212167.486</v>
      </c>
      <c r="Q53" s="25">
        <f>Q55+Q56+30+60+30+150+60</f>
        <v>17866.91</v>
      </c>
      <c r="R53" s="38">
        <f t="shared" ref="R53:R104" si="16">P53-Q53</f>
        <v>194300.576</v>
      </c>
      <c r="S53" s="25">
        <f>S55+S56</f>
        <v>3257</v>
      </c>
      <c r="T53" s="25">
        <f>T55+T56</f>
        <v>191.6</v>
      </c>
      <c r="U53" s="38">
        <f>S53-T53</f>
        <v>3065.4</v>
      </c>
      <c r="V53" s="49">
        <f t="shared" si="9"/>
        <v>1.8501420162620023E-2</v>
      </c>
    </row>
    <row r="54" spans="1:22" x14ac:dyDescent="0.25">
      <c r="A54" s="50"/>
      <c r="B54" s="31" t="s">
        <v>17</v>
      </c>
      <c r="C54" s="25"/>
      <c r="D54" s="25"/>
      <c r="E54" s="38"/>
      <c r="F54" s="25"/>
      <c r="G54" s="25"/>
      <c r="H54" s="38"/>
      <c r="I54" s="25"/>
      <c r="J54" s="25"/>
      <c r="K54" s="38"/>
      <c r="L54" s="49"/>
      <c r="M54" s="25"/>
      <c r="N54" s="25"/>
      <c r="O54" s="38"/>
      <c r="P54" s="25"/>
      <c r="Q54" s="25"/>
      <c r="R54" s="38"/>
      <c r="S54" s="25"/>
      <c r="T54" s="25"/>
      <c r="U54" s="38"/>
      <c r="V54" s="49"/>
    </row>
    <row r="55" spans="1:22" ht="25.5" x14ac:dyDescent="0.25">
      <c r="A55" s="50"/>
      <c r="B55" s="31" t="s">
        <v>79</v>
      </c>
      <c r="C55" s="25">
        <f>137137.99289</f>
        <v>137137.99288999999</v>
      </c>
      <c r="D55" s="25">
        <v>12747.755160000001</v>
      </c>
      <c r="E55" s="38">
        <f t="shared" si="0"/>
        <v>124390.23772999999</v>
      </c>
      <c r="F55" s="25">
        <v>140394.99731000001</v>
      </c>
      <c r="G55" s="25">
        <v>13598.62731</v>
      </c>
      <c r="H55" s="38">
        <f t="shared" si="13"/>
        <v>126796.37000000001</v>
      </c>
      <c r="I55" s="25">
        <v>166560.90867</v>
      </c>
      <c r="J55" s="25">
        <v>16799.834770000001</v>
      </c>
      <c r="K55" s="38">
        <f t="shared" si="14"/>
        <v>149761.07390000002</v>
      </c>
      <c r="L55" s="49">
        <f>K55/E55</f>
        <v>1.2039616342326611</v>
      </c>
      <c r="M55" s="25">
        <v>166036.53469999999</v>
      </c>
      <c r="N55" s="25">
        <f>16601.03571</f>
        <v>16601.03571</v>
      </c>
      <c r="O55" s="38">
        <f t="shared" si="15"/>
        <v>149435.49898999999</v>
      </c>
      <c r="P55" s="25">
        <v>159130.92980000001</v>
      </c>
      <c r="Q55" s="25">
        <f>731.6+1923.555+2472.135+30.6828+5584.1+511.43+2217.238</f>
        <v>13470.740800000001</v>
      </c>
      <c r="R55" s="38">
        <f t="shared" si="16"/>
        <v>145660.18900000001</v>
      </c>
      <c r="S55" s="25">
        <v>3215.2</v>
      </c>
      <c r="T55" s="25">
        <v>189.6</v>
      </c>
      <c r="U55" s="38">
        <f>S55-T55</f>
        <v>3025.6</v>
      </c>
      <c r="V55" s="49">
        <f>U55/E55</f>
        <v>2.4323452187360008E-2</v>
      </c>
    </row>
    <row r="56" spans="1:22" ht="25.5" x14ac:dyDescent="0.25">
      <c r="A56" s="50"/>
      <c r="B56" s="31" t="s">
        <v>80</v>
      </c>
      <c r="C56" s="25">
        <f>39898.45612</f>
        <v>39898.456120000003</v>
      </c>
      <c r="D56" s="25">
        <v>3796.8417399999998</v>
      </c>
      <c r="E56" s="38">
        <f t="shared" si="0"/>
        <v>36101.614379999999</v>
      </c>
      <c r="F56" s="25">
        <v>42274.596189999997</v>
      </c>
      <c r="G56" s="25">
        <v>4104.7031900000002</v>
      </c>
      <c r="H56" s="38">
        <f t="shared" si="13"/>
        <v>38169.892999999996</v>
      </c>
      <c r="I56" s="25">
        <v>48154.841339999999</v>
      </c>
      <c r="J56" s="25">
        <v>5024.0529999999999</v>
      </c>
      <c r="K56" s="38">
        <f t="shared" si="14"/>
        <v>43130.788339999999</v>
      </c>
      <c r="L56" s="49">
        <f>K56/E56</f>
        <v>1.1947052529566131</v>
      </c>
      <c r="M56" s="25">
        <v>47969.040840000001</v>
      </c>
      <c r="N56" s="25">
        <v>4942.9685600000003</v>
      </c>
      <c r="O56" s="38">
        <f t="shared" si="15"/>
        <v>43026.07228</v>
      </c>
      <c r="P56" s="25">
        <v>48046.556199999999</v>
      </c>
      <c r="Q56" s="25">
        <f>220.031+580.914+746.585+9.2662+1686.398+153.37+669.605</f>
        <v>4066.1691999999998</v>
      </c>
      <c r="R56" s="38">
        <f t="shared" si="16"/>
        <v>43980.387000000002</v>
      </c>
      <c r="S56" s="25">
        <v>41.8</v>
      </c>
      <c r="T56" s="25">
        <v>2</v>
      </c>
      <c r="U56" s="38">
        <f>S56-T56</f>
        <v>39.799999999999997</v>
      </c>
      <c r="V56" s="49">
        <f>U56/E56</f>
        <v>1.1024437738731394E-3</v>
      </c>
    </row>
    <row r="57" spans="1:22" ht="25.5" x14ac:dyDescent="0.25">
      <c r="A57" s="50" t="s">
        <v>56</v>
      </c>
      <c r="B57" s="31" t="s">
        <v>81</v>
      </c>
      <c r="C57" s="25">
        <f>374045.02821-C91</f>
        <v>172598.35841000004</v>
      </c>
      <c r="D57" s="25">
        <f>138860.74724-D91</f>
        <v>47676.643020000003</v>
      </c>
      <c r="E57" s="38">
        <f t="shared" si="0"/>
        <v>124921.71539000004</v>
      </c>
      <c r="F57" s="25">
        <v>243772.56372999999</v>
      </c>
      <c r="G57" s="25">
        <v>42480.997530000001</v>
      </c>
      <c r="H57" s="38">
        <f t="shared" si="13"/>
        <v>201291.5662</v>
      </c>
      <c r="I57" s="25">
        <f>582005.99213-I91</f>
        <v>369003.27728000004</v>
      </c>
      <c r="J57" s="25">
        <f>250839.69865-J91</f>
        <v>160006.29715</v>
      </c>
      <c r="K57" s="38">
        <f t="shared" si="14"/>
        <v>208996.98013000004</v>
      </c>
      <c r="L57" s="49">
        <f>K57/E57</f>
        <v>1.6730236170510528</v>
      </c>
      <c r="M57" s="25">
        <f>504337.97388-M91</f>
        <v>313564.28156000003</v>
      </c>
      <c r="N57" s="25">
        <f>236672.48456-N91</f>
        <v>156203.85686</v>
      </c>
      <c r="O57" s="38">
        <f t="shared" si="15"/>
        <v>157360.42470000003</v>
      </c>
      <c r="P57" s="25">
        <f>369816.85803-P91</f>
        <v>208058.33288999996</v>
      </c>
      <c r="Q57" s="25">
        <f>119129.55994-Q91</f>
        <v>67583.007990000013</v>
      </c>
      <c r="R57" s="38">
        <f t="shared" si="16"/>
        <v>140475.32489999995</v>
      </c>
      <c r="S57" s="25">
        <v>3801.4</v>
      </c>
      <c r="T57" s="25">
        <v>31</v>
      </c>
      <c r="U57" s="38">
        <f>S57-T57</f>
        <v>3770.4</v>
      </c>
      <c r="V57" s="49">
        <f>U57/E57</f>
        <v>3.0182102352893401E-2</v>
      </c>
    </row>
    <row r="58" spans="1:22" x14ac:dyDescent="0.25">
      <c r="A58" s="51"/>
      <c r="B58" s="52" t="s">
        <v>7</v>
      </c>
      <c r="C58" s="34"/>
      <c r="D58" s="34"/>
      <c r="E58" s="53"/>
      <c r="F58" s="34"/>
      <c r="G58" s="34"/>
      <c r="H58" s="53"/>
      <c r="I58" s="34"/>
      <c r="J58" s="34"/>
      <c r="K58" s="53"/>
      <c r="L58" s="54"/>
      <c r="M58" s="34"/>
      <c r="N58" s="34"/>
      <c r="O58" s="53"/>
      <c r="P58" s="25"/>
      <c r="Q58" s="25"/>
      <c r="R58" s="53"/>
      <c r="S58" s="25"/>
      <c r="T58" s="25"/>
      <c r="U58" s="53"/>
      <c r="V58" s="54"/>
    </row>
    <row r="59" spans="1:22" ht="25.5" x14ac:dyDescent="0.25">
      <c r="A59" s="23"/>
      <c r="B59" s="31" t="s">
        <v>82</v>
      </c>
      <c r="C59" s="25">
        <f>42074.18018-C93</f>
        <v>35164.871000000006</v>
      </c>
      <c r="D59" s="115">
        <v>567</v>
      </c>
      <c r="E59" s="38">
        <f t="shared" si="0"/>
        <v>34597.871000000006</v>
      </c>
      <c r="F59" s="25">
        <v>34096.705000000002</v>
      </c>
      <c r="G59" s="115">
        <v>566.58000000000004</v>
      </c>
      <c r="H59" s="38">
        <f>F59-G59</f>
        <v>33530.125</v>
      </c>
      <c r="I59" s="25">
        <f>41924+1483.31119</f>
        <v>43407.31119</v>
      </c>
      <c r="J59" s="147">
        <f>515.60521</f>
        <v>515.60521000000006</v>
      </c>
      <c r="K59" s="38">
        <f>I59-J59</f>
        <v>42891.705979999999</v>
      </c>
      <c r="L59" s="49">
        <f t="shared" ref="L59:L67" si="17">K59/E59</f>
        <v>1.2397209637552551</v>
      </c>
      <c r="M59" s="25">
        <f>39458.81977+1176.51264</f>
        <v>40635.332410000003</v>
      </c>
      <c r="N59" s="147">
        <f>479.86693</f>
        <v>479.86693000000002</v>
      </c>
      <c r="O59" s="38">
        <f>M59-N59</f>
        <v>40155.465480000006</v>
      </c>
      <c r="P59" s="25">
        <f>40497.22+420.53089</f>
        <v>40917.750890000003</v>
      </c>
      <c r="Q59" s="25">
        <f>0+420.53089</f>
        <v>420.53089</v>
      </c>
      <c r="R59" s="38">
        <f>P59-Q59</f>
        <v>40497.22</v>
      </c>
      <c r="S59" s="25">
        <v>2845.3</v>
      </c>
      <c r="T59" s="25">
        <v>27</v>
      </c>
      <c r="U59" s="38">
        <f>S59-T59</f>
        <v>2818.3</v>
      </c>
      <c r="V59" s="49">
        <f t="shared" ref="V59:V67" si="18">U59/E59</f>
        <v>8.1458769529489244E-2</v>
      </c>
    </row>
    <row r="60" spans="1:22" ht="25.5" x14ac:dyDescent="0.25">
      <c r="A60" s="23"/>
      <c r="B60" s="31" t="s">
        <v>83</v>
      </c>
      <c r="C60" s="25">
        <f>172522.84043-C94</f>
        <v>61508.463570000007</v>
      </c>
      <c r="D60" s="115">
        <v>5436</v>
      </c>
      <c r="E60" s="38">
        <f t="shared" si="0"/>
        <v>56072.463570000007</v>
      </c>
      <c r="F60" s="25">
        <v>47761.608999999997</v>
      </c>
      <c r="G60" s="115">
        <v>5043.4089999999997</v>
      </c>
      <c r="H60" s="38">
        <f>F60-G60</f>
        <v>42718.2</v>
      </c>
      <c r="I60" s="25">
        <f>175805.73+20971.72681+10393.85516</f>
        <v>207171.31197000001</v>
      </c>
      <c r="J60" s="147">
        <f>133677.56+84.98845+7944.7524</f>
        <v>141707.30085</v>
      </c>
      <c r="K60" s="38">
        <f>I60-J60</f>
        <v>65464.01112000001</v>
      </c>
      <c r="L60" s="49">
        <f t="shared" si="17"/>
        <v>1.1674894761539367</v>
      </c>
      <c r="M60" s="25">
        <f>170942.46337+18607.79595+10202.34471</f>
        <v>199752.60403000002</v>
      </c>
      <c r="N60" s="184">
        <f>133677.56+84.98845+7944.7524</f>
        <v>141707.30085</v>
      </c>
      <c r="O60" s="38">
        <f>M60-N60</f>
        <v>58045.303180000017</v>
      </c>
      <c r="P60" s="25">
        <f>39556.84+21615.30388</f>
        <v>61172.143879999996</v>
      </c>
      <c r="Q60" s="25">
        <f>12700+65.90388</f>
        <v>12765.90388</v>
      </c>
      <c r="R60" s="38">
        <f>P60-Q60</f>
        <v>48406.239999999998</v>
      </c>
      <c r="S60" s="25">
        <v>12</v>
      </c>
      <c r="T60" s="25">
        <v>0.4</v>
      </c>
      <c r="U60" s="38">
        <f>S60-T60</f>
        <v>11.6</v>
      </c>
      <c r="V60" s="49">
        <f t="shared" si="18"/>
        <v>2.0687516227138364E-4</v>
      </c>
    </row>
    <row r="61" spans="1:22" ht="25.5" x14ac:dyDescent="0.25">
      <c r="A61" s="23"/>
      <c r="B61" s="31" t="s">
        <v>84</v>
      </c>
      <c r="C61" s="25">
        <f>57377.49164-C95</f>
        <v>51400.510320000001</v>
      </c>
      <c r="D61" s="115">
        <v>30752</v>
      </c>
      <c r="E61" s="38">
        <f t="shared" si="0"/>
        <v>20648.510320000001</v>
      </c>
      <c r="F61" s="25">
        <v>31213</v>
      </c>
      <c r="G61" s="115">
        <v>29213</v>
      </c>
      <c r="H61" s="38">
        <f>F61-G61</f>
        <v>2000</v>
      </c>
      <c r="I61" s="25">
        <f>7491+3219.123+4521.18444</f>
        <v>15231.30744</v>
      </c>
      <c r="J61" s="147">
        <f>772.065+7076+1831.97023</f>
        <v>9680.0352300000013</v>
      </c>
      <c r="K61" s="38">
        <f>I61-J61</f>
        <v>5551.2722099999992</v>
      </c>
      <c r="L61" s="49">
        <f t="shared" si="17"/>
        <v>0.26884613582138545</v>
      </c>
      <c r="M61" s="25">
        <f>7448.26664+3219.123+4521.18444</f>
        <v>15188.574079999999</v>
      </c>
      <c r="N61" s="184">
        <f>7076+772.065+1831.97023</f>
        <v>9680.0352300000013</v>
      </c>
      <c r="O61" s="38">
        <f>M61-N61</f>
        <v>5508.5388499999972</v>
      </c>
      <c r="P61" s="25">
        <f>0</f>
        <v>0</v>
      </c>
      <c r="Q61" s="25"/>
      <c r="R61" s="38">
        <f>P61-Q61</f>
        <v>0</v>
      </c>
      <c r="S61" s="25"/>
      <c r="T61" s="25"/>
      <c r="U61" s="38">
        <f>S61-T61</f>
        <v>0</v>
      </c>
      <c r="V61" s="49">
        <f t="shared" si="18"/>
        <v>0</v>
      </c>
    </row>
    <row r="62" spans="1:22" ht="25.5" x14ac:dyDescent="0.25">
      <c r="A62" s="50" t="s">
        <v>85</v>
      </c>
      <c r="B62" s="31" t="s">
        <v>86</v>
      </c>
      <c r="C62" s="25">
        <f>76836.18738</f>
        <v>76836.187380000003</v>
      </c>
      <c r="D62" s="25">
        <v>68384.440069999997</v>
      </c>
      <c r="E62" s="38">
        <f t="shared" si="0"/>
        <v>8451.7473100000061</v>
      </c>
      <c r="F62" s="25">
        <f>22.6+83978.05</f>
        <v>84000.650000000009</v>
      </c>
      <c r="G62" s="25">
        <f>77081.5+22.6</f>
        <v>77104.100000000006</v>
      </c>
      <c r="H62" s="38">
        <f t="shared" si="13"/>
        <v>6896.5500000000029</v>
      </c>
      <c r="I62" s="25">
        <v>91013.384850000002</v>
      </c>
      <c r="J62" s="25">
        <v>82962.440849999999</v>
      </c>
      <c r="K62" s="38">
        <f t="shared" si="14"/>
        <v>8050.9440000000031</v>
      </c>
      <c r="L62" s="49">
        <f t="shared" si="17"/>
        <v>0.95257746176038915</v>
      </c>
      <c r="M62" s="25">
        <f>85619.90253</f>
        <v>85619.902530000007</v>
      </c>
      <c r="N62" s="25">
        <v>78353.899680000002</v>
      </c>
      <c r="O62" s="38">
        <f t="shared" si="15"/>
        <v>7266.0028500000044</v>
      </c>
      <c r="P62" s="25">
        <v>97603.948520000005</v>
      </c>
      <c r="Q62" s="25">
        <v>90093.493000000002</v>
      </c>
      <c r="R62" s="38">
        <f t="shared" si="16"/>
        <v>7510.4555200000032</v>
      </c>
      <c r="S62" s="25">
        <v>4753.2</v>
      </c>
      <c r="T62" s="25">
        <v>4589.6000000000004</v>
      </c>
      <c r="U62" s="38">
        <f>S62-T62</f>
        <v>163.59999999999945</v>
      </c>
      <c r="V62" s="49">
        <f t="shared" si="18"/>
        <v>1.9356944073142118E-2</v>
      </c>
    </row>
    <row r="63" spans="1:22" ht="25.5" x14ac:dyDescent="0.25">
      <c r="A63" s="50" t="s">
        <v>87</v>
      </c>
      <c r="B63" s="31" t="s">
        <v>88</v>
      </c>
      <c r="C63" s="25">
        <f>166048.42208</f>
        <v>166048.42207999999</v>
      </c>
      <c r="D63" s="115">
        <v>157746.00096999999</v>
      </c>
      <c r="E63" s="38">
        <f t="shared" si="0"/>
        <v>8302.4211099999957</v>
      </c>
      <c r="F63" s="25">
        <v>53412.298300000002</v>
      </c>
      <c r="G63" s="115">
        <v>50741.683369999999</v>
      </c>
      <c r="H63" s="38">
        <f t="shared" si="13"/>
        <v>2670.6149300000034</v>
      </c>
      <c r="I63" s="25">
        <v>261516.99528</v>
      </c>
      <c r="J63" s="115">
        <v>243989.70392999999</v>
      </c>
      <c r="K63" s="38">
        <f t="shared" si="14"/>
        <v>17527.291350000014</v>
      </c>
      <c r="L63" s="49">
        <f t="shared" si="17"/>
        <v>2.1111060397657933</v>
      </c>
      <c r="M63" s="25">
        <v>177283.85339</v>
      </c>
      <c r="N63" s="115">
        <v>159756.56203999999</v>
      </c>
      <c r="O63" s="38">
        <f t="shared" si="15"/>
        <v>17527.291350000014</v>
      </c>
      <c r="P63" s="25">
        <v>755631.62448</v>
      </c>
      <c r="Q63" s="25">
        <v>754215.17038000003</v>
      </c>
      <c r="R63" s="38">
        <f t="shared" si="16"/>
        <v>1416.4540999999736</v>
      </c>
      <c r="S63" s="25">
        <v>0</v>
      </c>
      <c r="T63" s="25">
        <v>0</v>
      </c>
      <c r="U63" s="38">
        <f t="shared" ref="U63:U104" si="19">S63-T63</f>
        <v>0</v>
      </c>
      <c r="V63" s="49">
        <f t="shared" si="18"/>
        <v>0</v>
      </c>
    </row>
    <row r="64" spans="1:22" x14ac:dyDescent="0.25">
      <c r="A64" s="50" t="s">
        <v>89</v>
      </c>
      <c r="B64" s="31" t="s">
        <v>90</v>
      </c>
      <c r="C64" s="25"/>
      <c r="D64" s="115"/>
      <c r="E64" s="38">
        <f t="shared" si="0"/>
        <v>0</v>
      </c>
      <c r="F64" s="25"/>
      <c r="G64" s="115"/>
      <c r="H64" s="38">
        <f t="shared" si="13"/>
        <v>0</v>
      </c>
      <c r="I64" s="25"/>
      <c r="J64" s="115"/>
      <c r="K64" s="38">
        <f t="shared" si="14"/>
        <v>0</v>
      </c>
      <c r="L64" s="49" t="e">
        <f t="shared" si="17"/>
        <v>#DIV/0!</v>
      </c>
      <c r="M64" s="25"/>
      <c r="N64" s="115"/>
      <c r="O64" s="38">
        <f t="shared" si="15"/>
        <v>0</v>
      </c>
      <c r="P64" s="25"/>
      <c r="Q64" s="25"/>
      <c r="R64" s="38">
        <f t="shared" si="16"/>
        <v>0</v>
      </c>
      <c r="S64" s="25"/>
      <c r="T64" s="25"/>
      <c r="U64" s="38">
        <f t="shared" si="19"/>
        <v>0</v>
      </c>
      <c r="V64" s="49" t="e">
        <f t="shared" si="18"/>
        <v>#DIV/0!</v>
      </c>
    </row>
    <row r="65" spans="1:22" ht="38.25" x14ac:dyDescent="0.25">
      <c r="A65" s="50" t="s">
        <v>91</v>
      </c>
      <c r="B65" s="31" t="s">
        <v>92</v>
      </c>
      <c r="C65" s="25">
        <v>2254477.6537899999</v>
      </c>
      <c r="D65" s="115">
        <v>1323108.9063899999</v>
      </c>
      <c r="E65" s="38">
        <f t="shared" si="0"/>
        <v>931368.74739999999</v>
      </c>
      <c r="F65" s="25">
        <v>2486524.8472500001</v>
      </c>
      <c r="G65" s="115">
        <v>1569283.0128500001</v>
      </c>
      <c r="H65" s="38">
        <f t="shared" si="13"/>
        <v>917241.83440000005</v>
      </c>
      <c r="I65" s="25">
        <v>2658260.58647</v>
      </c>
      <c r="J65" s="115">
        <v>1695581.6025100001</v>
      </c>
      <c r="K65" s="38">
        <f t="shared" si="14"/>
        <v>962678.98395999987</v>
      </c>
      <c r="L65" s="49">
        <f t="shared" si="17"/>
        <v>1.0336174438399455</v>
      </c>
      <c r="M65" s="25">
        <v>2649162.5212400001</v>
      </c>
      <c r="N65" s="115">
        <v>1689930.6891099999</v>
      </c>
      <c r="O65" s="38">
        <f t="shared" si="15"/>
        <v>959231.83213000023</v>
      </c>
      <c r="P65" s="25">
        <v>2542321.96636</v>
      </c>
      <c r="Q65" s="25">
        <v>1489178.1663599999</v>
      </c>
      <c r="R65" s="38">
        <f t="shared" si="16"/>
        <v>1053143.8</v>
      </c>
      <c r="S65" s="25">
        <f>112.6+99858.4+25.8</f>
        <v>99996.800000000003</v>
      </c>
      <c r="T65" s="25">
        <v>58723</v>
      </c>
      <c r="U65" s="38">
        <f>S65-T65</f>
        <v>41273.800000000003</v>
      </c>
      <c r="V65" s="49">
        <f t="shared" si="18"/>
        <v>4.431520825153254E-2</v>
      </c>
    </row>
    <row r="66" spans="1:22" ht="51" x14ac:dyDescent="0.25">
      <c r="A66" s="50"/>
      <c r="B66" s="55" t="s">
        <v>93</v>
      </c>
      <c r="C66" s="56">
        <f>C67+C70+C71+C72+C73+C74</f>
        <v>2266236.9485799996</v>
      </c>
      <c r="D66" s="56">
        <f>D67+D70+D71+D72+D73+D74</f>
        <v>1356281</v>
      </c>
      <c r="E66" s="56">
        <f t="shared" si="0"/>
        <v>909955.94857999962</v>
      </c>
      <c r="F66" s="57">
        <f>F67+F70+F71+F72+F73+F74</f>
        <v>2486524.5319999997</v>
      </c>
      <c r="G66" s="57">
        <f>G67+G70+G71+G72+G73+G74</f>
        <v>1569283.15</v>
      </c>
      <c r="H66" s="56">
        <f t="shared" si="13"/>
        <v>917241.38199999975</v>
      </c>
      <c r="I66" s="57">
        <f>I67+I70+I71+I72+I73+I74</f>
        <v>2827686.7363799997</v>
      </c>
      <c r="J66" s="57">
        <f>J67+J70+J71+J72+J73+J74</f>
        <v>1695685.71</v>
      </c>
      <c r="K66" s="56">
        <f t="shared" si="14"/>
        <v>1132001.0263799997</v>
      </c>
      <c r="L66" s="58">
        <f t="shared" si="17"/>
        <v>1.2440173924314741</v>
      </c>
      <c r="M66" s="57">
        <f>M67+M70+M71+M72+M73+M74</f>
        <v>2593611.1975500002</v>
      </c>
      <c r="N66" s="57">
        <f>N67+N70+N71+N72+N73+N74</f>
        <v>1624023.4100000001</v>
      </c>
      <c r="O66" s="56">
        <f t="shared" si="15"/>
        <v>969587.78755000001</v>
      </c>
      <c r="P66" s="57">
        <f>P67+P70+P71+P72+P73+P74</f>
        <v>2542321.7932199999</v>
      </c>
      <c r="Q66" s="57">
        <f>Q67+Q70+Q71+Q72+Q73+Q74</f>
        <v>1489178.2</v>
      </c>
      <c r="R66" s="56">
        <f t="shared" si="16"/>
        <v>1053143.5932199999</v>
      </c>
      <c r="S66" s="57">
        <f>S67+S70+S71+S72+S73+S74</f>
        <v>47273.9</v>
      </c>
      <c r="T66" s="57">
        <f>T67+T70+T71+T72+T73+T74</f>
        <v>15008</v>
      </c>
      <c r="U66" s="56">
        <f t="shared" si="19"/>
        <v>32265.9</v>
      </c>
      <c r="V66" s="59">
        <f t="shared" si="18"/>
        <v>3.5458749459632018E-2</v>
      </c>
    </row>
    <row r="67" spans="1:22" x14ac:dyDescent="0.25">
      <c r="A67" s="50" t="s">
        <v>94</v>
      </c>
      <c r="B67" s="60" t="s">
        <v>95</v>
      </c>
      <c r="C67" s="61">
        <f>43560.54454+43698.51457+32.3002+13178.62328+1180989.9098+2682.80002+254.511+355020.27018</f>
        <v>1639417.4735899998</v>
      </c>
      <c r="D67" s="116">
        <v>1200380</v>
      </c>
      <c r="E67" s="62">
        <f t="shared" si="0"/>
        <v>439037.47358999983</v>
      </c>
      <c r="F67" s="61">
        <v>1753486.7</v>
      </c>
      <c r="G67" s="116">
        <v>1279981.5919999999</v>
      </c>
      <c r="H67" s="62">
        <f t="shared" si="13"/>
        <v>473505.10800000001</v>
      </c>
      <c r="I67" s="61">
        <v>1871221.75379</v>
      </c>
      <c r="J67" s="116">
        <f>1378228.2+5690.81</f>
        <v>1383919.01</v>
      </c>
      <c r="K67" s="62">
        <f t="shared" si="14"/>
        <v>487302.74378999998</v>
      </c>
      <c r="L67" s="63">
        <f t="shared" si="17"/>
        <v>1.1099342837533572</v>
      </c>
      <c r="M67" s="61">
        <f>1819937.67348</f>
        <v>1819937.6734800001</v>
      </c>
      <c r="N67" s="116">
        <f>1345081.7+5690.81</f>
        <v>1350772.51</v>
      </c>
      <c r="O67" s="62">
        <f t="shared" si="15"/>
        <v>469165.1634800001</v>
      </c>
      <c r="P67" s="61">
        <v>1762601.62322</v>
      </c>
      <c r="Q67" s="116">
        <v>1272293.93</v>
      </c>
      <c r="R67" s="62">
        <f t="shared" si="16"/>
        <v>490307.69322000002</v>
      </c>
      <c r="S67" s="61">
        <v>20741.2</v>
      </c>
      <c r="T67" s="116">
        <v>13412.6</v>
      </c>
      <c r="U67" s="62">
        <f t="shared" si="19"/>
        <v>7328.6</v>
      </c>
      <c r="V67" s="63">
        <f t="shared" si="18"/>
        <v>1.6692424772022759E-2</v>
      </c>
    </row>
    <row r="68" spans="1:22" x14ac:dyDescent="0.25">
      <c r="A68" s="50"/>
      <c r="B68" s="60" t="s">
        <v>7</v>
      </c>
      <c r="C68" s="61"/>
      <c r="D68" s="116"/>
      <c r="E68" s="62"/>
      <c r="F68" s="61"/>
      <c r="G68" s="116"/>
      <c r="H68" s="62"/>
      <c r="I68" s="61"/>
      <c r="J68" s="116"/>
      <c r="K68" s="62"/>
      <c r="L68" s="63"/>
      <c r="M68" s="61"/>
      <c r="N68" s="116"/>
      <c r="O68" s="62"/>
      <c r="P68" s="61"/>
      <c r="Q68" s="116"/>
      <c r="R68" s="62"/>
      <c r="S68" s="61"/>
      <c r="T68" s="116"/>
      <c r="U68" s="62"/>
      <c r="V68" s="63"/>
    </row>
    <row r="69" spans="1:22" ht="25.5" x14ac:dyDescent="0.25">
      <c r="A69" s="50"/>
      <c r="B69" s="60" t="s">
        <v>96</v>
      </c>
      <c r="C69" s="61">
        <f>1180989.9098+355020.27018+43560.54454+13178.62328</f>
        <v>1592749.3477999999</v>
      </c>
      <c r="D69" s="116">
        <v>1177461</v>
      </c>
      <c r="E69" s="62">
        <f t="shared" ref="E69:E74" si="20">C69-D69</f>
        <v>415288.34779999987</v>
      </c>
      <c r="F69" s="61">
        <v>1693683.7720999999</v>
      </c>
      <c r="G69" s="116">
        <v>1266943.611</v>
      </c>
      <c r="H69" s="62">
        <f t="shared" si="13"/>
        <v>426740.16109999991</v>
      </c>
      <c r="I69" s="61">
        <f>1400187.69+422735.59738</f>
        <v>1822923.2873799999</v>
      </c>
      <c r="J69" s="116">
        <f>1352885.5+5690.81</f>
        <v>1358576.31</v>
      </c>
      <c r="K69" s="62">
        <f t="shared" si="14"/>
        <v>464346.97737999982</v>
      </c>
      <c r="L69" s="63">
        <f t="shared" ref="L69:L74" si="21">K69/E69</f>
        <v>1.1181314858456521</v>
      </c>
      <c r="M69" s="61">
        <f>1358927.61249+413990.45053</f>
        <v>1772918.06302</v>
      </c>
      <c r="N69" s="116">
        <f>1320261.2+5690.81</f>
        <v>1325952.01</v>
      </c>
      <c r="O69" s="62">
        <f t="shared" si="15"/>
        <v>446966.05301999999</v>
      </c>
      <c r="P69" s="61">
        <v>1719541.51</v>
      </c>
      <c r="Q69" s="116">
        <v>1252415.51</v>
      </c>
      <c r="R69" s="62">
        <f t="shared" si="16"/>
        <v>467126</v>
      </c>
      <c r="S69" s="61">
        <v>20689.3</v>
      </c>
      <c r="T69" s="116">
        <f>T67</f>
        <v>13412.6</v>
      </c>
      <c r="U69" s="62">
        <f t="shared" si="19"/>
        <v>7276.6999999999989</v>
      </c>
      <c r="V69" s="63">
        <f t="shared" ref="V69:V74" si="22">U69/E69</f>
        <v>1.7522042307588196E-2</v>
      </c>
    </row>
    <row r="70" spans="1:22" x14ac:dyDescent="0.25">
      <c r="A70" s="50" t="s">
        <v>97</v>
      </c>
      <c r="B70" s="60" t="s">
        <v>98</v>
      </c>
      <c r="C70" s="61">
        <f>1905.73939+76.9211+731.37284</f>
        <v>2714.0333300000002</v>
      </c>
      <c r="D70" s="116">
        <v>2442</v>
      </c>
      <c r="E70" s="62">
        <f t="shared" si="20"/>
        <v>272.03333000000021</v>
      </c>
      <c r="F70" s="61">
        <v>2817.4</v>
      </c>
      <c r="G70" s="116">
        <v>2588.732</v>
      </c>
      <c r="H70" s="62">
        <f t="shared" si="13"/>
        <v>228.66800000000012</v>
      </c>
      <c r="I70" s="61">
        <v>2799.9716100000001</v>
      </c>
      <c r="J70" s="116">
        <f>2251.9</f>
        <v>2251.9</v>
      </c>
      <c r="K70" s="62">
        <f t="shared" si="14"/>
        <v>548.07160999999996</v>
      </c>
      <c r="L70" s="63">
        <f t="shared" si="21"/>
        <v>2.0147222768621753</v>
      </c>
      <c r="M70" s="61">
        <f>2721.79583</f>
        <v>2721.79583</v>
      </c>
      <c r="N70" s="116">
        <f>2176</f>
        <v>2176</v>
      </c>
      <c r="O70" s="62">
        <f t="shared" si="15"/>
        <v>545.79583000000002</v>
      </c>
      <c r="P70" s="61">
        <v>3666</v>
      </c>
      <c r="Q70" s="116">
        <v>3666</v>
      </c>
      <c r="R70" s="62">
        <f t="shared" si="16"/>
        <v>0</v>
      </c>
      <c r="S70" s="61">
        <v>138.5</v>
      </c>
      <c r="T70" s="116">
        <f>S70</f>
        <v>138.5</v>
      </c>
      <c r="U70" s="62">
        <f t="shared" si="19"/>
        <v>0</v>
      </c>
      <c r="V70" s="63">
        <f t="shared" si="22"/>
        <v>0</v>
      </c>
    </row>
    <row r="71" spans="1:22" x14ac:dyDescent="0.25">
      <c r="A71" s="50" t="s">
        <v>99</v>
      </c>
      <c r="B71" s="60" t="s">
        <v>100</v>
      </c>
      <c r="C71" s="61">
        <f>85.25372+66.19801+13355.59385</f>
        <v>13507.04558</v>
      </c>
      <c r="D71" s="116"/>
      <c r="E71" s="62">
        <f t="shared" si="20"/>
        <v>13507.04558</v>
      </c>
      <c r="F71" s="61">
        <v>21448.799999999999</v>
      </c>
      <c r="G71" s="116">
        <v>0</v>
      </c>
      <c r="H71" s="62">
        <f t="shared" si="13"/>
        <v>21448.799999999999</v>
      </c>
      <c r="I71" s="61">
        <v>25816.380969999998</v>
      </c>
      <c r="J71" s="116"/>
      <c r="K71" s="62">
        <f t="shared" si="14"/>
        <v>25816.380969999998</v>
      </c>
      <c r="L71" s="63">
        <f t="shared" si="21"/>
        <v>1.9113270046431574</v>
      </c>
      <c r="M71" s="61">
        <f>24876.83525</f>
        <v>24876.83525</v>
      </c>
      <c r="N71" s="116"/>
      <c r="O71" s="62">
        <f t="shared" si="15"/>
        <v>24876.83525</v>
      </c>
      <c r="P71" s="61">
        <v>29325</v>
      </c>
      <c r="Q71" s="116"/>
      <c r="R71" s="62">
        <f t="shared" si="16"/>
        <v>29325</v>
      </c>
      <c r="S71" s="61">
        <v>4915.6000000000004</v>
      </c>
      <c r="T71" s="116"/>
      <c r="U71" s="62">
        <f t="shared" si="19"/>
        <v>4915.6000000000004</v>
      </c>
      <c r="V71" s="63">
        <f t="shared" si="22"/>
        <v>0.36392858607648232</v>
      </c>
    </row>
    <row r="72" spans="1:22" x14ac:dyDescent="0.25">
      <c r="A72" s="50" t="s">
        <v>101</v>
      </c>
      <c r="B72" s="60" t="s">
        <v>102</v>
      </c>
      <c r="C72" s="61"/>
      <c r="D72" s="116"/>
      <c r="E72" s="62">
        <f t="shared" si="20"/>
        <v>0</v>
      </c>
      <c r="F72" s="61"/>
      <c r="G72" s="116"/>
      <c r="H72" s="62">
        <f t="shared" si="13"/>
        <v>0</v>
      </c>
      <c r="I72" s="61"/>
      <c r="J72" s="116"/>
      <c r="K72" s="62">
        <f t="shared" si="14"/>
        <v>0</v>
      </c>
      <c r="L72" s="63" t="e">
        <f t="shared" si="21"/>
        <v>#DIV/0!</v>
      </c>
      <c r="M72" s="61"/>
      <c r="N72" s="116"/>
      <c r="O72" s="62">
        <f t="shared" si="15"/>
        <v>0</v>
      </c>
      <c r="P72" s="61"/>
      <c r="Q72" s="116"/>
      <c r="R72" s="62">
        <f t="shared" si="16"/>
        <v>0</v>
      </c>
      <c r="S72" s="61"/>
      <c r="T72" s="116"/>
      <c r="U72" s="62">
        <f t="shared" si="19"/>
        <v>0</v>
      </c>
      <c r="V72" s="63" t="e">
        <f t="shared" si="22"/>
        <v>#DIV/0!</v>
      </c>
    </row>
    <row r="73" spans="1:22" ht="25.5" x14ac:dyDescent="0.25">
      <c r="A73" s="50" t="s">
        <v>103</v>
      </c>
      <c r="B73" s="60" t="s">
        <v>104</v>
      </c>
      <c r="C73" s="61">
        <v>6537.64714</v>
      </c>
      <c r="D73" s="116">
        <v>2933</v>
      </c>
      <c r="E73" s="62">
        <f t="shared" si="20"/>
        <v>3604.64714</v>
      </c>
      <c r="F73" s="61"/>
      <c r="G73" s="116"/>
      <c r="H73" s="62">
        <f t="shared" si="13"/>
        <v>0</v>
      </c>
      <c r="I73" s="61">
        <f>7700</f>
        <v>7700</v>
      </c>
      <c r="J73" s="116">
        <f>4655</f>
        <v>4655</v>
      </c>
      <c r="K73" s="62">
        <f t="shared" si="14"/>
        <v>3045</v>
      </c>
      <c r="L73" s="63">
        <f t="shared" si="21"/>
        <v>0.84474287821692307</v>
      </c>
      <c r="M73" s="61"/>
      <c r="N73" s="116"/>
      <c r="O73" s="62">
        <f t="shared" si="15"/>
        <v>0</v>
      </c>
      <c r="P73" s="61"/>
      <c r="Q73" s="116"/>
      <c r="R73" s="62">
        <f t="shared" si="16"/>
        <v>0</v>
      </c>
      <c r="S73" s="61"/>
      <c r="T73" s="116"/>
      <c r="U73" s="62">
        <f t="shared" si="19"/>
        <v>0</v>
      </c>
      <c r="V73" s="63">
        <f t="shared" si="22"/>
        <v>0</v>
      </c>
    </row>
    <row r="74" spans="1:22" x14ac:dyDescent="0.25">
      <c r="A74" s="50" t="s">
        <v>208</v>
      </c>
      <c r="B74" s="60" t="s">
        <v>105</v>
      </c>
      <c r="C74" s="61">
        <f>294814.35558+309246.39336</f>
        <v>604060.74893999996</v>
      </c>
      <c r="D74" s="116">
        <v>150526</v>
      </c>
      <c r="E74" s="62">
        <f t="shared" si="20"/>
        <v>453534.74893999996</v>
      </c>
      <c r="F74" s="61">
        <v>708771.63199999998</v>
      </c>
      <c r="G74" s="116">
        <v>286712.826</v>
      </c>
      <c r="H74" s="62">
        <f t="shared" si="13"/>
        <v>422058.80599999998</v>
      </c>
      <c r="I74" s="61">
        <v>920148.63000999996</v>
      </c>
      <c r="J74" s="116">
        <f>304859.8</f>
        <v>304859.8</v>
      </c>
      <c r="K74" s="62">
        <f t="shared" si="14"/>
        <v>615288.83000999992</v>
      </c>
      <c r="L74" s="63">
        <f t="shared" si="21"/>
        <v>1.3566520127687043</v>
      </c>
      <c r="M74" s="61">
        <v>746074.89298999996</v>
      </c>
      <c r="N74" s="116">
        <f>271074.9</f>
        <v>271074.90000000002</v>
      </c>
      <c r="O74" s="62">
        <f t="shared" si="15"/>
        <v>474999.99298999994</v>
      </c>
      <c r="P74" s="61">
        <f>637190.17+109539</f>
        <v>746729.17</v>
      </c>
      <c r="Q74" s="116">
        <v>213218.27</v>
      </c>
      <c r="R74" s="62">
        <f t="shared" si="16"/>
        <v>533510.9</v>
      </c>
      <c r="S74" s="61">
        <v>21478.6</v>
      </c>
      <c r="T74" s="116">
        <v>1456.9</v>
      </c>
      <c r="U74" s="62">
        <f t="shared" si="19"/>
        <v>20021.699999999997</v>
      </c>
      <c r="V74" s="63">
        <f t="shared" si="22"/>
        <v>4.4145900720495297E-2</v>
      </c>
    </row>
    <row r="75" spans="1:22" x14ac:dyDescent="0.25">
      <c r="A75" s="50"/>
      <c r="B75" s="60" t="s">
        <v>7</v>
      </c>
      <c r="C75" s="61"/>
      <c r="D75" s="116"/>
      <c r="E75" s="62"/>
      <c r="F75" s="61"/>
      <c r="G75" s="116"/>
      <c r="H75" s="62"/>
      <c r="I75" s="61"/>
      <c r="J75" s="116"/>
      <c r="K75" s="62"/>
      <c r="L75" s="63"/>
      <c r="M75" s="61"/>
      <c r="N75" s="116"/>
      <c r="O75" s="62"/>
      <c r="P75" s="61"/>
      <c r="Q75" s="116"/>
      <c r="R75" s="62"/>
      <c r="S75" s="61"/>
      <c r="T75" s="116"/>
      <c r="U75" s="62"/>
      <c r="V75" s="63"/>
    </row>
    <row r="76" spans="1:22" ht="25.5" x14ac:dyDescent="0.25">
      <c r="A76" s="50"/>
      <c r="B76" s="60" t="s">
        <v>106</v>
      </c>
      <c r="C76" s="61">
        <v>137657</v>
      </c>
      <c r="D76" s="116"/>
      <c r="E76" s="62">
        <f>C76-D76</f>
        <v>137657</v>
      </c>
      <c r="F76" s="61">
        <v>159687.66</v>
      </c>
      <c r="G76" s="116">
        <v>0</v>
      </c>
      <c r="H76" s="62">
        <f>F76-G76</f>
        <v>159687.66</v>
      </c>
      <c r="I76" s="61">
        <f>14878+156601.1</f>
        <v>171479.1</v>
      </c>
      <c r="J76" s="183"/>
      <c r="K76" s="62">
        <f>I76-J76</f>
        <v>171479.1</v>
      </c>
      <c r="L76" s="63">
        <f>K76/E76</f>
        <v>1.2456983662291057</v>
      </c>
      <c r="M76" s="61">
        <f>15390+135074.3</f>
        <v>150464.29999999999</v>
      </c>
      <c r="N76" s="116"/>
      <c r="O76" s="62">
        <f>M76-N76</f>
        <v>150464.29999999999</v>
      </c>
      <c r="P76" s="61">
        <v>116974.1</v>
      </c>
      <c r="Q76" s="116"/>
      <c r="R76" s="62">
        <f>P76-Q76</f>
        <v>116974.1</v>
      </c>
      <c r="S76" s="61">
        <v>11745.6</v>
      </c>
      <c r="T76" s="116"/>
      <c r="U76" s="62">
        <f>S76-T76</f>
        <v>11745.6</v>
      </c>
      <c r="V76" s="63">
        <f>U76/E76</f>
        <v>8.5325119681527284E-2</v>
      </c>
    </row>
    <row r="77" spans="1:22" ht="25.5" x14ac:dyDescent="0.25">
      <c r="A77" s="50"/>
      <c r="B77" s="60" t="s">
        <v>83</v>
      </c>
      <c r="C77" s="61">
        <v>133274</v>
      </c>
      <c r="D77" s="116">
        <v>14416</v>
      </c>
      <c r="E77" s="62">
        <f>C77-D77</f>
        <v>118858</v>
      </c>
      <c r="F77" s="61">
        <v>132218.60800000001</v>
      </c>
      <c r="G77" s="116">
        <v>13310.4</v>
      </c>
      <c r="H77" s="62">
        <f>F77-G77</f>
        <v>118908.20800000001</v>
      </c>
      <c r="I77" s="61">
        <f>6055+258156</f>
        <v>264211</v>
      </c>
      <c r="J77" s="183">
        <f>142998.2</f>
        <v>142998.20000000001</v>
      </c>
      <c r="K77" s="62">
        <f>I77-J77</f>
        <v>121212.79999999999</v>
      </c>
      <c r="L77" s="63">
        <f>K77/E77</f>
        <v>1.0198118763566608</v>
      </c>
      <c r="M77" s="61">
        <f>3409+243861.7</f>
        <v>247270.7</v>
      </c>
      <c r="N77" s="116">
        <f>123209</f>
        <v>123209</v>
      </c>
      <c r="O77" s="62">
        <f>M77-N77</f>
        <v>124061.70000000001</v>
      </c>
      <c r="P77" s="61">
        <v>136542.76999999999</v>
      </c>
      <c r="Q77" s="116">
        <v>85426.77</v>
      </c>
      <c r="R77" s="62">
        <f>P77-Q77</f>
        <v>51115.999999999985</v>
      </c>
      <c r="S77" s="61">
        <v>1789.6</v>
      </c>
      <c r="T77" s="116">
        <v>541.29999999999995</v>
      </c>
      <c r="U77" s="62">
        <f>S77-T77</f>
        <v>1248.3</v>
      </c>
      <c r="V77" s="63">
        <f>U77/E77</f>
        <v>1.0502448299651685E-2</v>
      </c>
    </row>
    <row r="78" spans="1:22" ht="25.5" x14ac:dyDescent="0.25">
      <c r="A78" s="50"/>
      <c r="B78" s="60" t="s">
        <v>84</v>
      </c>
      <c r="C78" s="61">
        <v>99810</v>
      </c>
      <c r="D78" s="116">
        <v>56795</v>
      </c>
      <c r="E78" s="62">
        <f>C78-D78</f>
        <v>43015</v>
      </c>
      <c r="F78" s="61">
        <v>95694.53</v>
      </c>
      <c r="G78" s="116">
        <v>4300</v>
      </c>
      <c r="H78" s="62">
        <f>F78-G78</f>
        <v>91394.53</v>
      </c>
      <c r="I78" s="61">
        <f>33643+95305.6</f>
        <v>128948.6</v>
      </c>
      <c r="J78" s="183">
        <f>61990.2</f>
        <v>61990.2</v>
      </c>
      <c r="K78" s="62">
        <f>I78-J78</f>
        <v>66958.400000000009</v>
      </c>
      <c r="L78" s="63">
        <f>K78/E78</f>
        <v>1.556629082878066</v>
      </c>
      <c r="M78" s="61">
        <f>3513+92819.4</f>
        <v>96332.4</v>
      </c>
      <c r="N78" s="116">
        <f>61934</f>
        <v>61934</v>
      </c>
      <c r="O78" s="62">
        <f>M78-N78</f>
        <v>34398.399999999994</v>
      </c>
      <c r="P78" s="61">
        <v>30947.7</v>
      </c>
      <c r="Q78" s="116">
        <v>30947.7</v>
      </c>
      <c r="R78" s="62">
        <f>P78-Q78</f>
        <v>0</v>
      </c>
      <c r="S78" s="61">
        <v>115.6</v>
      </c>
      <c r="T78" s="116">
        <v>115.6</v>
      </c>
      <c r="U78" s="62">
        <f>S78-T78</f>
        <v>0</v>
      </c>
      <c r="V78" s="63">
        <f>U78/E78</f>
        <v>0</v>
      </c>
    </row>
    <row r="79" spans="1:22" ht="25.5" x14ac:dyDescent="0.25">
      <c r="A79" s="23" t="s">
        <v>107</v>
      </c>
      <c r="B79" s="31" t="s">
        <v>108</v>
      </c>
      <c r="C79" s="25">
        <v>80.697559999999996</v>
      </c>
      <c r="D79" s="117"/>
      <c r="E79" s="38">
        <f t="shared" si="0"/>
        <v>80.697559999999996</v>
      </c>
      <c r="F79" s="25">
        <v>143.5</v>
      </c>
      <c r="G79" s="117"/>
      <c r="H79" s="38">
        <f t="shared" si="13"/>
        <v>143.5</v>
      </c>
      <c r="I79" s="25">
        <v>46.137569999999997</v>
      </c>
      <c r="J79" s="117">
        <v>0</v>
      </c>
      <c r="K79" s="38">
        <f t="shared" si="14"/>
        <v>46.137569999999997</v>
      </c>
      <c r="L79" s="49">
        <f>K79/E79</f>
        <v>0.57173438701244494</v>
      </c>
      <c r="M79" s="25">
        <v>46.137569999999997</v>
      </c>
      <c r="N79" s="117"/>
      <c r="O79" s="38">
        <f t="shared" si="15"/>
        <v>46.137569999999997</v>
      </c>
      <c r="P79" s="25">
        <v>140</v>
      </c>
      <c r="Q79" s="117"/>
      <c r="R79" s="38">
        <f t="shared" si="16"/>
        <v>140</v>
      </c>
      <c r="S79" s="25">
        <v>0</v>
      </c>
      <c r="T79" s="117"/>
      <c r="U79" s="38">
        <f t="shared" si="19"/>
        <v>0</v>
      </c>
      <c r="V79" s="49">
        <f>U79/E79</f>
        <v>0</v>
      </c>
    </row>
    <row r="80" spans="1:22" ht="25.5" x14ac:dyDescent="0.25">
      <c r="A80" s="23" t="s">
        <v>109</v>
      </c>
      <c r="B80" s="31" t="s">
        <v>110</v>
      </c>
      <c r="C80" s="25">
        <f>C82+C83+C84+C85</f>
        <v>17009.11188</v>
      </c>
      <c r="D80" s="115">
        <f>D82+D83+D84+D85</f>
        <v>787.31399999999996</v>
      </c>
      <c r="E80" s="38">
        <f t="shared" si="0"/>
        <v>16221.79788</v>
      </c>
      <c r="F80" s="25">
        <f>F82+F84+F83+F85</f>
        <v>24921.737000000001</v>
      </c>
      <c r="G80" s="115">
        <f>G82+G83+G84+G85</f>
        <v>2675.6000000000004</v>
      </c>
      <c r="H80" s="38">
        <f t="shared" si="13"/>
        <v>22246.137000000002</v>
      </c>
      <c r="I80" s="25">
        <f>I82+I83+I84+I85</f>
        <v>25611.30992</v>
      </c>
      <c r="J80" s="115">
        <f>J82+J83+J84+J85</f>
        <v>784.69159999999999</v>
      </c>
      <c r="K80" s="38">
        <f t="shared" si="14"/>
        <v>24826.618320000001</v>
      </c>
      <c r="L80" s="49">
        <f>K80/E80</f>
        <v>1.5304480122150308</v>
      </c>
      <c r="M80" s="25">
        <f>M82+M83+M84+M85</f>
        <v>10871.697769999999</v>
      </c>
      <c r="N80" s="115">
        <f>N82+N83+N84+N85</f>
        <v>784.69159999999999</v>
      </c>
      <c r="O80" s="38">
        <f t="shared" si="15"/>
        <v>10087.006169999999</v>
      </c>
      <c r="P80" s="25">
        <f>P82+P83+P84+P85+8200</f>
        <v>34575.724000000002</v>
      </c>
      <c r="Q80" s="117">
        <f>Q82+Q83+Q84+Q85</f>
        <v>2661.3</v>
      </c>
      <c r="R80" s="38">
        <f t="shared" si="16"/>
        <v>31914.424000000003</v>
      </c>
      <c r="S80" s="25">
        <f>S82+S83+S84+S85</f>
        <v>13</v>
      </c>
      <c r="T80" s="117"/>
      <c r="U80" s="38">
        <f>S80-T80</f>
        <v>13</v>
      </c>
      <c r="V80" s="49">
        <f>U80/E80</f>
        <v>8.0139082586078928E-4</v>
      </c>
    </row>
    <row r="81" spans="1:22" x14ac:dyDescent="0.25">
      <c r="A81" s="23"/>
      <c r="B81" s="31" t="s">
        <v>17</v>
      </c>
      <c r="C81" s="25"/>
      <c r="D81" s="115"/>
      <c r="E81" s="38"/>
      <c r="F81" s="25"/>
      <c r="G81" s="115"/>
      <c r="H81" s="38"/>
      <c r="I81" s="25"/>
      <c r="J81" s="115"/>
      <c r="K81" s="38"/>
      <c r="L81" s="49"/>
      <c r="M81" s="25"/>
      <c r="N81" s="115"/>
      <c r="O81" s="38"/>
      <c r="P81" s="25"/>
      <c r="Q81" s="117"/>
      <c r="R81" s="38"/>
      <c r="S81" s="25"/>
      <c r="T81" s="117"/>
      <c r="U81" s="38"/>
      <c r="V81" s="49"/>
    </row>
    <row r="82" spans="1:22" ht="76.5" x14ac:dyDescent="0.25">
      <c r="A82" s="23"/>
      <c r="B82" s="31" t="s">
        <v>111</v>
      </c>
      <c r="C82" s="25">
        <f>15094.77303</f>
        <v>15094.77303</v>
      </c>
      <c r="D82" s="115"/>
      <c r="E82" s="38">
        <f t="shared" si="0"/>
        <v>15094.77303</v>
      </c>
      <c r="F82" s="25">
        <v>2110.3000000000002</v>
      </c>
      <c r="G82" s="115">
        <v>78.3</v>
      </c>
      <c r="H82" s="38">
        <f t="shared" si="13"/>
        <v>2032.0000000000002</v>
      </c>
      <c r="I82" s="25">
        <f>9985</f>
        <v>9985</v>
      </c>
      <c r="J82" s="115"/>
      <c r="K82" s="38">
        <f t="shared" si="14"/>
        <v>9985</v>
      </c>
      <c r="L82" s="49">
        <f t="shared" ref="L82:L87" si="23">K82/E82</f>
        <v>0.66148725655929919</v>
      </c>
      <c r="M82" s="25">
        <v>8113.01314</v>
      </c>
      <c r="N82" s="115"/>
      <c r="O82" s="38">
        <f t="shared" si="15"/>
        <v>8113.01314</v>
      </c>
      <c r="P82" s="25">
        <v>3548.9</v>
      </c>
      <c r="Q82" s="117">
        <v>63.9</v>
      </c>
      <c r="R82" s="38">
        <f t="shared" si="16"/>
        <v>3485</v>
      </c>
      <c r="S82" s="25"/>
      <c r="T82" s="117"/>
      <c r="U82" s="38">
        <f t="shared" si="19"/>
        <v>0</v>
      </c>
      <c r="V82" s="49">
        <f t="shared" ref="V82:V87" si="24">U82/E82</f>
        <v>0</v>
      </c>
    </row>
    <row r="83" spans="1:22" ht="25.5" x14ac:dyDescent="0.25">
      <c r="A83" s="23"/>
      <c r="B83" s="31" t="s">
        <v>112</v>
      </c>
      <c r="C83" s="25">
        <f>318.16656-C102</f>
        <v>316.16656</v>
      </c>
      <c r="D83" s="115"/>
      <c r="E83" s="38">
        <f t="shared" si="0"/>
        <v>316.16656</v>
      </c>
      <c r="F83" s="25">
        <v>2811.4369999999999</v>
      </c>
      <c r="G83" s="115">
        <v>2597.3000000000002</v>
      </c>
      <c r="H83" s="38">
        <f t="shared" si="13"/>
        <v>214.13699999999972</v>
      </c>
      <c r="I83" s="25">
        <f>1576.10259-I102</f>
        <v>1576.10259</v>
      </c>
      <c r="J83" s="115"/>
      <c r="K83" s="38">
        <f t="shared" si="14"/>
        <v>1576.10259</v>
      </c>
      <c r="L83" s="49">
        <f t="shared" si="23"/>
        <v>4.9850388668554952</v>
      </c>
      <c r="M83" s="25">
        <f>1327.34575-M102</f>
        <v>1327.34575</v>
      </c>
      <c r="N83" s="115"/>
      <c r="O83" s="38">
        <f t="shared" si="15"/>
        <v>1327.34575</v>
      </c>
      <c r="P83" s="25">
        <v>0</v>
      </c>
      <c r="Q83" s="117"/>
      <c r="R83" s="38">
        <f t="shared" si="16"/>
        <v>0</v>
      </c>
      <c r="S83" s="25">
        <v>13</v>
      </c>
      <c r="T83" s="117">
        <v>0</v>
      </c>
      <c r="U83" s="38">
        <f>S83-T83</f>
        <v>13</v>
      </c>
      <c r="V83" s="49">
        <f t="shared" si="24"/>
        <v>4.1117567904714526E-2</v>
      </c>
    </row>
    <row r="84" spans="1:22" ht="25.5" x14ac:dyDescent="0.25">
      <c r="A84" s="23"/>
      <c r="B84" s="31" t="s">
        <v>113</v>
      </c>
      <c r="C84" s="25">
        <f>3478.59777-C103</f>
        <v>1598.17229</v>
      </c>
      <c r="D84" s="115">
        <f>787.314-D103</f>
        <v>787.31399999999996</v>
      </c>
      <c r="E84" s="38">
        <f t="shared" si="0"/>
        <v>810.85829000000001</v>
      </c>
      <c r="F84" s="25">
        <v>20000</v>
      </c>
      <c r="G84" s="115"/>
      <c r="H84" s="38">
        <f t="shared" si="13"/>
        <v>20000</v>
      </c>
      <c r="I84" s="25">
        <f>2010.74785-I103</f>
        <v>1432.64815</v>
      </c>
      <c r="J84" s="115">
        <f>784.6916</f>
        <v>784.69159999999999</v>
      </c>
      <c r="K84" s="38">
        <f t="shared" si="14"/>
        <v>647.95654999999999</v>
      </c>
      <c r="L84" s="49">
        <f t="shared" si="23"/>
        <v>0.79909961825758724</v>
      </c>
      <c r="M84" s="25">
        <f>1811.79135-M103</f>
        <v>1431.33888</v>
      </c>
      <c r="N84" s="115">
        <v>784.69159999999999</v>
      </c>
      <c r="O84" s="38">
        <f t="shared" si="15"/>
        <v>646.64728000000002</v>
      </c>
      <c r="P84" s="25">
        <v>2826.8240000000001</v>
      </c>
      <c r="Q84" s="117">
        <v>2597.4</v>
      </c>
      <c r="R84" s="38">
        <f t="shared" si="16"/>
        <v>229.42399999999998</v>
      </c>
      <c r="S84" s="25"/>
      <c r="T84" s="117"/>
      <c r="U84" s="38">
        <f t="shared" si="19"/>
        <v>0</v>
      </c>
      <c r="V84" s="49">
        <f t="shared" si="24"/>
        <v>0</v>
      </c>
    </row>
    <row r="85" spans="1:22" x14ac:dyDescent="0.25">
      <c r="A85" s="23"/>
      <c r="B85" s="31" t="s">
        <v>114</v>
      </c>
      <c r="C85" s="25">
        <v>0</v>
      </c>
      <c r="D85" s="115"/>
      <c r="E85" s="38">
        <f t="shared" si="0"/>
        <v>0</v>
      </c>
      <c r="F85" s="25"/>
      <c r="G85" s="115"/>
      <c r="H85" s="38">
        <f t="shared" si="13"/>
        <v>0</v>
      </c>
      <c r="I85" s="25">
        <v>12617.55918</v>
      </c>
      <c r="J85" s="115"/>
      <c r="K85" s="38">
        <f t="shared" si="14"/>
        <v>12617.55918</v>
      </c>
      <c r="L85" s="49" t="e">
        <f t="shared" si="23"/>
        <v>#DIV/0!</v>
      </c>
      <c r="M85" s="25">
        <v>0</v>
      </c>
      <c r="N85" s="115"/>
      <c r="O85" s="38">
        <f t="shared" si="15"/>
        <v>0</v>
      </c>
      <c r="P85" s="25">
        <v>20000</v>
      </c>
      <c r="Q85" s="117"/>
      <c r="R85" s="38">
        <f t="shared" si="16"/>
        <v>20000</v>
      </c>
      <c r="S85" s="25"/>
      <c r="T85" s="117"/>
      <c r="U85" s="38">
        <f t="shared" si="19"/>
        <v>0</v>
      </c>
      <c r="V85" s="49" t="e">
        <f t="shared" si="24"/>
        <v>#DIV/0!</v>
      </c>
    </row>
    <row r="86" spans="1:22" x14ac:dyDescent="0.25">
      <c r="A86" s="14" t="s">
        <v>115</v>
      </c>
      <c r="B86" s="64" t="s">
        <v>116</v>
      </c>
      <c r="C86" s="48">
        <f>C87+C91+C96+C97+C98+C99</f>
        <v>286804.62480999995</v>
      </c>
      <c r="D86" s="48">
        <f>D87+D91+D96+D97+D98+D99</f>
        <v>91184.104219999994</v>
      </c>
      <c r="E86" s="38">
        <f t="shared" si="0"/>
        <v>195620.52058999997</v>
      </c>
      <c r="F86" s="48">
        <f>F87+F91+F96+F97+F98+F99</f>
        <v>279445.41519999999</v>
      </c>
      <c r="G86" s="48">
        <f>G87+G91+G96+G97+G98+G99</f>
        <v>43764.4352</v>
      </c>
      <c r="H86" s="38">
        <f t="shared" si="13"/>
        <v>235680.97999999998</v>
      </c>
      <c r="I86" s="48">
        <f>I87+I91+I96+I97+I98+I99</f>
        <v>315281.78785999998</v>
      </c>
      <c r="J86" s="48">
        <f>J87+J91+J96+J97+J98+J99</f>
        <v>91362.258490000007</v>
      </c>
      <c r="K86" s="38">
        <f t="shared" si="14"/>
        <v>223919.52936999997</v>
      </c>
      <c r="L86" s="49">
        <f t="shared" si="23"/>
        <v>1.1446627822819864</v>
      </c>
      <c r="M86" s="48">
        <f>M87+M91+M96+M97+M98+M99</f>
        <v>292474.35076</v>
      </c>
      <c r="N86" s="48">
        <f>N87+N91+N96+N97+N98+N99</f>
        <v>80997.484689999997</v>
      </c>
      <c r="O86" s="38">
        <f t="shared" si="15"/>
        <v>211476.86606999999</v>
      </c>
      <c r="P86" s="48">
        <f>P87+P91+P96+P97+P98+P99</f>
        <v>259162.66295000003</v>
      </c>
      <c r="Q86" s="48">
        <f>Q87+Q91+Q96+Q97+Q98+Q99</f>
        <v>51546.551950000001</v>
      </c>
      <c r="R86" s="38">
        <f t="shared" si="16"/>
        <v>207616.11100000003</v>
      </c>
      <c r="S86" s="48">
        <f>S87+S91+S96+S97+S98+S99</f>
        <v>3617.2</v>
      </c>
      <c r="T86" s="48">
        <f>T87+T91+T96+T97+T98+T99</f>
        <v>0</v>
      </c>
      <c r="U86" s="38">
        <f>S86-T86</f>
        <v>3617.2</v>
      </c>
      <c r="V86" s="49">
        <f t="shared" si="24"/>
        <v>1.8490902636852043E-2</v>
      </c>
    </row>
    <row r="87" spans="1:22" ht="38.25" x14ac:dyDescent="0.25">
      <c r="A87" s="23" t="s">
        <v>117</v>
      </c>
      <c r="B87" s="31" t="s">
        <v>118</v>
      </c>
      <c r="C87" s="25">
        <f>C89+C90+245.80229+159.99967+331.46179+653.71911</f>
        <v>83475.529530000014</v>
      </c>
      <c r="D87" s="25"/>
      <c r="E87" s="38">
        <f>C87-D87</f>
        <v>83475.529530000014</v>
      </c>
      <c r="F87" s="25">
        <v>91462.645999999993</v>
      </c>
      <c r="G87" s="115"/>
      <c r="H87" s="38">
        <f t="shared" si="13"/>
        <v>91462.645999999993</v>
      </c>
      <c r="I87" s="25">
        <f>I89+I90+429.7995+203.14453+1096.806+382.5789</f>
        <v>101700.97330999999</v>
      </c>
      <c r="J87" s="115">
        <f>J89+J90</f>
        <v>528.85699</v>
      </c>
      <c r="K87" s="38">
        <f t="shared" si="14"/>
        <v>101172.11631999999</v>
      </c>
      <c r="L87" s="49">
        <f t="shared" si="23"/>
        <v>1.2119972989646031</v>
      </c>
      <c r="M87" s="25">
        <f>M89+M90+382.5789+1086.80957+203.14453+429.7995</f>
        <v>101320.20597</v>
      </c>
      <c r="N87" s="115">
        <f>N89+N90</f>
        <v>528.85699</v>
      </c>
      <c r="O87" s="38">
        <f t="shared" si="15"/>
        <v>100791.34898</v>
      </c>
      <c r="P87" s="25">
        <f>P89+P90+2085</f>
        <v>96825.837809999997</v>
      </c>
      <c r="Q87" s="115">
        <f>Q89+Q90</f>
        <v>0</v>
      </c>
      <c r="R87" s="38">
        <f t="shared" si="16"/>
        <v>96825.837809999997</v>
      </c>
      <c r="S87" s="25">
        <f>S89+S90</f>
        <v>2443.1999999999998</v>
      </c>
      <c r="T87" s="115"/>
      <c r="U87" s="38">
        <f>S87-T87</f>
        <v>2443.1999999999998</v>
      </c>
      <c r="V87" s="49">
        <f t="shared" si="24"/>
        <v>2.9268457639696023E-2</v>
      </c>
    </row>
    <row r="88" spans="1:22" x14ac:dyDescent="0.25">
      <c r="A88" s="23"/>
      <c r="B88" s="31" t="s">
        <v>17</v>
      </c>
      <c r="C88" s="25"/>
      <c r="D88" s="115"/>
      <c r="E88" s="38"/>
      <c r="F88" s="25"/>
      <c r="G88" s="115"/>
      <c r="H88" s="38"/>
      <c r="I88" s="25"/>
      <c r="J88" s="115"/>
      <c r="K88" s="38"/>
      <c r="L88" s="49"/>
      <c r="M88" s="25"/>
      <c r="N88" s="115"/>
      <c r="O88" s="38"/>
      <c r="P88" s="25"/>
      <c r="Q88" s="115"/>
      <c r="R88" s="38"/>
      <c r="S88" s="25"/>
      <c r="T88" s="115"/>
      <c r="U88" s="38"/>
      <c r="V88" s="49"/>
    </row>
    <row r="89" spans="1:22" ht="25.5" x14ac:dyDescent="0.25">
      <c r="A89" s="23"/>
      <c r="B89" s="31" t="s">
        <v>119</v>
      </c>
      <c r="C89" s="25">
        <f>4411.08451+11324.7584+38493.48516+9056.59793</f>
        <v>63285.925999999992</v>
      </c>
      <c r="D89" s="115"/>
      <c r="E89" s="38">
        <f>C89-D89</f>
        <v>63285.925999999992</v>
      </c>
      <c r="F89" s="25">
        <v>68313.600000000006</v>
      </c>
      <c r="G89" s="115"/>
      <c r="H89" s="38">
        <f t="shared" si="13"/>
        <v>68313.600000000006</v>
      </c>
      <c r="I89" s="25">
        <f>11030.05498+47704.95418+12996.88093+4723.57126</f>
        <v>76455.461349999998</v>
      </c>
      <c r="J89" s="115">
        <f>57.47126+68.96552+231.15425+57.47126</f>
        <v>415.06228999999996</v>
      </c>
      <c r="K89" s="38">
        <f t="shared" si="14"/>
        <v>76040.399059999996</v>
      </c>
      <c r="L89" s="49">
        <f>K89/E89</f>
        <v>1.2015372748120965</v>
      </c>
      <c r="M89" s="25">
        <f>10979.56817+47584.50792+12996.88093+4623.84698</f>
        <v>76184.804000000004</v>
      </c>
      <c r="N89" s="115">
        <f>57.47126+57.47126+68.96552+231.15425</f>
        <v>415.06228999999996</v>
      </c>
      <c r="O89" s="38">
        <f t="shared" si="15"/>
        <v>75769.741710000002</v>
      </c>
      <c r="P89" s="25">
        <v>72758.522419999994</v>
      </c>
      <c r="Q89" s="115"/>
      <c r="R89" s="38">
        <f t="shared" si="16"/>
        <v>72758.522419999994</v>
      </c>
      <c r="S89" s="25">
        <f>3001.2-673</f>
        <v>2328.1999999999998</v>
      </c>
      <c r="T89" s="115"/>
      <c r="U89" s="38">
        <f>S89-T89</f>
        <v>2328.1999999999998</v>
      </c>
      <c r="V89" s="49">
        <f>U89/E89</f>
        <v>3.6788590246747757E-2</v>
      </c>
    </row>
    <row r="90" spans="1:22" ht="25.5" x14ac:dyDescent="0.25">
      <c r="A90" s="23"/>
      <c r="B90" s="31" t="s">
        <v>120</v>
      </c>
      <c r="C90" s="25">
        <f>1194.64402+3394.51214+11500.05351+2709.411</f>
        <v>18798.62067</v>
      </c>
      <c r="D90" s="115"/>
      <c r="E90" s="38">
        <f>C90-D90</f>
        <v>18798.62067</v>
      </c>
      <c r="F90" s="25">
        <v>20884.045999999998</v>
      </c>
      <c r="G90" s="115"/>
      <c r="H90" s="38">
        <f t="shared" si="13"/>
        <v>20884.045999999998</v>
      </c>
      <c r="I90" s="25">
        <f>3328.40653+14332.59854+3913.56365+1558.61431</f>
        <v>23133.18303</v>
      </c>
      <c r="J90" s="115">
        <f>17.35632+58.25447+17.35632+20.82759</f>
        <v>113.79469999999999</v>
      </c>
      <c r="K90" s="38">
        <f t="shared" si="14"/>
        <v>23019.388330000002</v>
      </c>
      <c r="L90" s="49">
        <f>K90/E90</f>
        <v>1.2245253912025451</v>
      </c>
      <c r="M90" s="25">
        <f>1538.51187+3913.52058+14281.35242+3299.6846</f>
        <v>23033.069469999999</v>
      </c>
      <c r="N90" s="115">
        <f>17.35632+17.35632+20.82759+58.25447</f>
        <v>113.79470000000001</v>
      </c>
      <c r="O90" s="38">
        <f t="shared" si="15"/>
        <v>22919.27477</v>
      </c>
      <c r="P90" s="25">
        <v>21982.31539</v>
      </c>
      <c r="Q90" s="115"/>
      <c r="R90" s="38">
        <f t="shared" si="16"/>
        <v>21982.31539</v>
      </c>
      <c r="S90" s="25">
        <v>115</v>
      </c>
      <c r="T90" s="115"/>
      <c r="U90" s="38">
        <f>S90-T90</f>
        <v>115</v>
      </c>
      <c r="V90" s="49">
        <f>U90/E90</f>
        <v>6.1174701069171581E-3</v>
      </c>
    </row>
    <row r="91" spans="1:22" ht="25.5" x14ac:dyDescent="0.25">
      <c r="A91" s="23" t="s">
        <v>121</v>
      </c>
      <c r="B91" s="31" t="s">
        <v>122</v>
      </c>
      <c r="C91" s="25">
        <f>174663.48062+2136.80995+24135.77323+510.606</f>
        <v>201446.66979999997</v>
      </c>
      <c r="D91" s="115">
        <v>91184.104219999994</v>
      </c>
      <c r="E91" s="38">
        <f t="shared" si="0"/>
        <v>110262.56557999998</v>
      </c>
      <c r="F91" s="25">
        <v>187389.46919999999</v>
      </c>
      <c r="G91" s="115">
        <v>43764.4352</v>
      </c>
      <c r="H91" s="38">
        <f t="shared" si="13"/>
        <v>143625.03399999999</v>
      </c>
      <c r="I91" s="25">
        <f>648.56+37054.05657+1176.454+174123.64428</f>
        <v>213002.71484999999</v>
      </c>
      <c r="J91" s="115">
        <f>90833.4015</f>
        <v>90833.401500000007</v>
      </c>
      <c r="K91" s="38">
        <f t="shared" si="14"/>
        <v>122169.31334999998</v>
      </c>
      <c r="L91" s="49">
        <f>K91/E91</f>
        <v>1.1079854047234297</v>
      </c>
      <c r="M91" s="25">
        <f>152561.848+648.56+36410.98929+1152.29503</f>
        <v>190773.69232</v>
      </c>
      <c r="N91" s="115">
        <v>80468.627699999997</v>
      </c>
      <c r="O91" s="38">
        <f t="shared" si="15"/>
        <v>110305.06462</v>
      </c>
      <c r="P91" s="25">
        <f>2500+22219.94+578.5+2297.271+5+2393.36219+2706.276+2167.9+48840.27595+10000+7000+750+5000+14549.8+25300+15450.2</f>
        <v>161758.52514000004</v>
      </c>
      <c r="Q91" s="115">
        <f>2706.276+48840.27595</f>
        <v>51546.551950000001</v>
      </c>
      <c r="R91" s="38">
        <f t="shared" si="16"/>
        <v>110211.97319000005</v>
      </c>
      <c r="S91" s="25">
        <v>1174</v>
      </c>
      <c r="T91" s="115"/>
      <c r="U91" s="38">
        <f>S91-T91</f>
        <v>1174</v>
      </c>
      <c r="V91" s="49">
        <f>U91/E91</f>
        <v>1.0647312565461895E-2</v>
      </c>
    </row>
    <row r="92" spans="1:22" x14ac:dyDescent="0.25">
      <c r="A92" s="50"/>
      <c r="B92" s="31" t="s">
        <v>7</v>
      </c>
      <c r="C92" s="25"/>
      <c r="D92" s="25"/>
      <c r="E92" s="38"/>
      <c r="F92" s="25"/>
      <c r="G92" s="25"/>
      <c r="H92" s="38"/>
      <c r="I92" s="25"/>
      <c r="J92" s="25"/>
      <c r="K92" s="38"/>
      <c r="L92" s="49"/>
      <c r="M92" s="25"/>
      <c r="N92" s="25"/>
      <c r="O92" s="38"/>
      <c r="P92" s="25"/>
      <c r="Q92" s="115"/>
      <c r="R92" s="38"/>
      <c r="S92" s="25"/>
      <c r="T92" s="115"/>
      <c r="U92" s="38"/>
      <c r="V92" s="49"/>
    </row>
    <row r="93" spans="1:22" ht="21" customHeight="1" x14ac:dyDescent="0.25">
      <c r="A93" s="23"/>
      <c r="B93" s="31" t="s">
        <v>106</v>
      </c>
      <c r="C93" s="25">
        <f>6640.81698+266.04718+2.44502</f>
        <v>6909.3091799999993</v>
      </c>
      <c r="D93" s="115">
        <v>0</v>
      </c>
      <c r="E93" s="38">
        <f>C93-D93</f>
        <v>6909.3091799999993</v>
      </c>
      <c r="F93" s="25">
        <v>6725.277</v>
      </c>
      <c r="G93" s="115"/>
      <c r="H93" s="38">
        <f>F93-G93</f>
        <v>6725.277</v>
      </c>
      <c r="I93" s="25">
        <f>7362.64177+0</f>
        <v>7362.6417700000002</v>
      </c>
      <c r="J93" s="147"/>
      <c r="K93" s="38">
        <f>I93-J93</f>
        <v>7362.6417700000002</v>
      </c>
      <c r="L93" s="49"/>
      <c r="M93" s="25">
        <f>282.25347+6682.02899</f>
        <v>6964.2824599999994</v>
      </c>
      <c r="N93" s="158"/>
      <c r="O93" s="38">
        <f>M93-N93</f>
        <v>6964.2824599999994</v>
      </c>
      <c r="P93" s="25">
        <f>7421.7+0</f>
        <v>7421.7</v>
      </c>
      <c r="Q93" s="115"/>
      <c r="R93" s="38">
        <f>P93-Q93</f>
        <v>7421.7</v>
      </c>
      <c r="S93" s="25">
        <v>204.3</v>
      </c>
      <c r="T93" s="115"/>
      <c r="U93" s="38">
        <f>S93-T93</f>
        <v>204.3</v>
      </c>
      <c r="V93" s="49"/>
    </row>
    <row r="94" spans="1:22" ht="25.5" x14ac:dyDescent="0.25">
      <c r="A94" s="23"/>
      <c r="B94" s="31" t="s">
        <v>83</v>
      </c>
      <c r="C94" s="25">
        <f>106949.83598+3219.50333+845.03755</f>
        <v>111014.37686</v>
      </c>
      <c r="D94" s="115">
        <f>63781.3</f>
        <v>63781.3</v>
      </c>
      <c r="E94" s="38">
        <f>C94-D94</f>
        <v>47233.076860000001</v>
      </c>
      <c r="F94" s="25">
        <v>129158.209</v>
      </c>
      <c r="G94" s="115">
        <v>40631.4</v>
      </c>
      <c r="H94" s="38">
        <f>F94-G94</f>
        <v>88526.809000000008</v>
      </c>
      <c r="I94" s="25">
        <f>100099.78019+9530.46923</f>
        <v>109630.24942000001</v>
      </c>
      <c r="J94" s="147">
        <f>46491.17549</f>
        <v>46491.175490000001</v>
      </c>
      <c r="K94" s="38">
        <f>I94-J94</f>
        <v>63139.073930000006</v>
      </c>
      <c r="L94" s="49">
        <f t="shared" ref="L94:L99" si="25">K94/E94</f>
        <v>1.3367554715341914</v>
      </c>
      <c r="M94" s="25">
        <f>9367.5252+4.15+91931.58243</f>
        <v>101303.25762999999</v>
      </c>
      <c r="N94" s="158">
        <f>45811.89027</f>
        <v>45811.890270000004</v>
      </c>
      <c r="O94" s="38">
        <f>M94-N94</f>
        <v>55491.367359999989</v>
      </c>
      <c r="P94" s="25">
        <f>5082.6+98690.07595</f>
        <v>103772.67595</v>
      </c>
      <c r="Q94" s="115">
        <v>48840.275950000003</v>
      </c>
      <c r="R94" s="38">
        <f>P94-Q94</f>
        <v>54932.4</v>
      </c>
      <c r="S94" s="25">
        <v>25</v>
      </c>
      <c r="T94" s="115"/>
      <c r="U94" s="38">
        <f>S94-T94</f>
        <v>25</v>
      </c>
      <c r="V94" s="49">
        <f t="shared" ref="V94:V99" si="26">U94/E94</f>
        <v>5.2929010053909069E-4</v>
      </c>
    </row>
    <row r="95" spans="1:22" ht="25.5" x14ac:dyDescent="0.25">
      <c r="A95" s="23"/>
      <c r="B95" s="31" t="s">
        <v>84</v>
      </c>
      <c r="C95" s="25">
        <f>4090.12+447.308+1439.55332</f>
        <v>5976.9813199999999</v>
      </c>
      <c r="D95" s="115">
        <v>0</v>
      </c>
      <c r="E95" s="38">
        <f>C95-D95</f>
        <v>5976.9813199999999</v>
      </c>
      <c r="F95" s="25">
        <v>6999.97</v>
      </c>
      <c r="G95" s="115"/>
      <c r="H95" s="38">
        <f>F95-G95</f>
        <v>6999.97</v>
      </c>
      <c r="I95" s="25">
        <f>4198.21801+2735.5062</f>
        <v>6933.7242099999994</v>
      </c>
      <c r="J95" s="147">
        <f>482.56741</f>
        <v>482.56741</v>
      </c>
      <c r="K95" s="38">
        <f>I95-J95</f>
        <v>6451.1567999999997</v>
      </c>
      <c r="L95" s="49">
        <f t="shared" si="25"/>
        <v>1.0793336058142473</v>
      </c>
      <c r="M95" s="25">
        <f>3895.418+27.5+161.0058+2574.5004</f>
        <v>6658.4241999999995</v>
      </c>
      <c r="N95" s="158">
        <f>482.56741</f>
        <v>482.56741</v>
      </c>
      <c r="O95" s="38">
        <f>M95-N95</f>
        <v>6175.8567899999998</v>
      </c>
      <c r="P95" s="25">
        <f>5196.8+7000</f>
        <v>12196.8</v>
      </c>
      <c r="Q95" s="115"/>
      <c r="R95" s="38">
        <f>P95-Q95</f>
        <v>12196.8</v>
      </c>
      <c r="S95" s="25"/>
      <c r="T95" s="115"/>
      <c r="U95" s="38">
        <f>S95-T95</f>
        <v>0</v>
      </c>
      <c r="V95" s="49">
        <f t="shared" si="26"/>
        <v>0</v>
      </c>
    </row>
    <row r="96" spans="1:22" ht="25.5" x14ac:dyDescent="0.25">
      <c r="A96" s="23" t="s">
        <v>123</v>
      </c>
      <c r="B96" s="31" t="s">
        <v>124</v>
      </c>
      <c r="C96" s="25">
        <v>0</v>
      </c>
      <c r="D96" s="115"/>
      <c r="E96" s="38">
        <f t="shared" si="0"/>
        <v>0</v>
      </c>
      <c r="F96" s="25"/>
      <c r="G96" s="115"/>
      <c r="H96" s="38">
        <f t="shared" si="13"/>
        <v>0</v>
      </c>
      <c r="I96" s="25"/>
      <c r="J96" s="115"/>
      <c r="K96" s="38">
        <f t="shared" si="14"/>
        <v>0</v>
      </c>
      <c r="L96" s="49" t="e">
        <f t="shared" si="25"/>
        <v>#DIV/0!</v>
      </c>
      <c r="M96" s="25"/>
      <c r="N96" s="115"/>
      <c r="O96" s="38">
        <f t="shared" si="15"/>
        <v>0</v>
      </c>
      <c r="P96" s="25"/>
      <c r="Q96" s="115"/>
      <c r="R96" s="38">
        <f t="shared" si="16"/>
        <v>0</v>
      </c>
      <c r="S96" s="25"/>
      <c r="T96" s="115"/>
      <c r="U96" s="38">
        <f t="shared" si="19"/>
        <v>0</v>
      </c>
      <c r="V96" s="49" t="e">
        <f t="shared" si="26"/>
        <v>#DIV/0!</v>
      </c>
    </row>
    <row r="97" spans="1:22" ht="25.5" x14ac:dyDescent="0.25">
      <c r="A97" s="23" t="s">
        <v>125</v>
      </c>
      <c r="B97" s="31" t="s">
        <v>126</v>
      </c>
      <c r="C97" s="25">
        <v>0</v>
      </c>
      <c r="D97" s="115"/>
      <c r="E97" s="38">
        <f t="shared" si="0"/>
        <v>0</v>
      </c>
      <c r="F97" s="25"/>
      <c r="G97" s="115"/>
      <c r="H97" s="38">
        <f t="shared" si="13"/>
        <v>0</v>
      </c>
      <c r="I97" s="25"/>
      <c r="J97" s="115"/>
      <c r="K97" s="38">
        <f t="shared" si="14"/>
        <v>0</v>
      </c>
      <c r="L97" s="49" t="e">
        <f t="shared" si="25"/>
        <v>#DIV/0!</v>
      </c>
      <c r="M97" s="25"/>
      <c r="N97" s="115"/>
      <c r="O97" s="38">
        <f t="shared" si="15"/>
        <v>0</v>
      </c>
      <c r="P97" s="25"/>
      <c r="Q97" s="115"/>
      <c r="R97" s="38">
        <f t="shared" si="16"/>
        <v>0</v>
      </c>
      <c r="S97" s="25"/>
      <c r="T97" s="115"/>
      <c r="U97" s="38">
        <f t="shared" si="19"/>
        <v>0</v>
      </c>
      <c r="V97" s="49" t="e">
        <f t="shared" si="26"/>
        <v>#DIV/0!</v>
      </c>
    </row>
    <row r="98" spans="1:22" x14ac:dyDescent="0.25">
      <c r="A98" s="23" t="s">
        <v>127</v>
      </c>
      <c r="B98" s="31" t="s">
        <v>90</v>
      </c>
      <c r="C98" s="25"/>
      <c r="D98" s="115"/>
      <c r="E98" s="38">
        <f t="shared" si="0"/>
        <v>0</v>
      </c>
      <c r="F98" s="25"/>
      <c r="G98" s="115"/>
      <c r="H98" s="38">
        <f t="shared" si="13"/>
        <v>0</v>
      </c>
      <c r="I98" s="25"/>
      <c r="J98" s="115"/>
      <c r="K98" s="38">
        <f t="shared" si="14"/>
        <v>0</v>
      </c>
      <c r="L98" s="49" t="e">
        <f t="shared" si="25"/>
        <v>#DIV/0!</v>
      </c>
      <c r="M98" s="25"/>
      <c r="N98" s="115"/>
      <c r="O98" s="38">
        <f t="shared" si="15"/>
        <v>0</v>
      </c>
      <c r="P98" s="25"/>
      <c r="Q98" s="115"/>
      <c r="R98" s="38">
        <f t="shared" si="16"/>
        <v>0</v>
      </c>
      <c r="S98" s="25"/>
      <c r="T98" s="115"/>
      <c r="U98" s="38">
        <f t="shared" si="19"/>
        <v>0</v>
      </c>
      <c r="V98" s="49" t="e">
        <f t="shared" si="26"/>
        <v>#DIV/0!</v>
      </c>
    </row>
    <row r="99" spans="1:22" x14ac:dyDescent="0.25">
      <c r="A99" s="23" t="s">
        <v>128</v>
      </c>
      <c r="B99" s="31" t="s">
        <v>129</v>
      </c>
      <c r="C99" s="25">
        <f>C101+C102+C103</f>
        <v>1882.4254799999999</v>
      </c>
      <c r="D99" s="117">
        <f>D101+D102+D103</f>
        <v>0</v>
      </c>
      <c r="E99" s="38">
        <f t="shared" si="0"/>
        <v>1882.4254799999999</v>
      </c>
      <c r="F99" s="25">
        <f>F101+F102+F103</f>
        <v>593.29999999999995</v>
      </c>
      <c r="G99" s="117">
        <f>G101+G102+G103</f>
        <v>0</v>
      </c>
      <c r="H99" s="38">
        <f t="shared" si="13"/>
        <v>593.29999999999995</v>
      </c>
      <c r="I99" s="25">
        <f>I101+I102+I103</f>
        <v>578.09969999999998</v>
      </c>
      <c r="J99" s="25"/>
      <c r="K99" s="38">
        <f t="shared" si="14"/>
        <v>578.09969999999998</v>
      </c>
      <c r="L99" s="49">
        <f t="shared" si="25"/>
        <v>0.30710363100269977</v>
      </c>
      <c r="M99" s="25">
        <f>M101+M102+M103</f>
        <v>380.45247000000001</v>
      </c>
      <c r="N99" s="25"/>
      <c r="O99" s="38">
        <f t="shared" si="15"/>
        <v>380.45247000000001</v>
      </c>
      <c r="P99" s="25">
        <f>P101+P102+P103</f>
        <v>578.29999999999995</v>
      </c>
      <c r="Q99" s="115"/>
      <c r="R99" s="38">
        <f t="shared" si="16"/>
        <v>578.29999999999995</v>
      </c>
      <c r="S99" s="25">
        <f>S101+S102+S103</f>
        <v>0</v>
      </c>
      <c r="T99" s="115"/>
      <c r="U99" s="38">
        <f t="shared" si="19"/>
        <v>0</v>
      </c>
      <c r="V99" s="49">
        <f t="shared" si="26"/>
        <v>0</v>
      </c>
    </row>
    <row r="100" spans="1:22" x14ac:dyDescent="0.25">
      <c r="A100" s="23"/>
      <c r="B100" s="31" t="s">
        <v>17</v>
      </c>
      <c r="C100" s="25"/>
      <c r="D100" s="117"/>
      <c r="E100" s="38"/>
      <c r="F100" s="25"/>
      <c r="G100" s="117"/>
      <c r="H100" s="38"/>
      <c r="I100" s="25"/>
      <c r="J100" s="117"/>
      <c r="K100" s="38"/>
      <c r="L100" s="49"/>
      <c r="M100" s="117"/>
      <c r="N100" s="117"/>
      <c r="O100" s="38"/>
      <c r="P100" s="25"/>
      <c r="Q100" s="115"/>
      <c r="R100" s="38"/>
      <c r="S100" s="25"/>
      <c r="T100" s="115"/>
      <c r="U100" s="38"/>
      <c r="V100" s="49"/>
    </row>
    <row r="101" spans="1:22" ht="76.5" x14ac:dyDescent="0.25">
      <c r="A101" s="23"/>
      <c r="B101" s="31" t="s">
        <v>130</v>
      </c>
      <c r="C101" s="25">
        <v>0</v>
      </c>
      <c r="D101" s="117"/>
      <c r="E101" s="38">
        <f>C101-D101</f>
        <v>0</v>
      </c>
      <c r="F101" s="25"/>
      <c r="G101" s="117"/>
      <c r="H101" s="38">
        <f>F101-G101</f>
        <v>0</v>
      </c>
      <c r="I101" s="25"/>
      <c r="J101" s="117"/>
      <c r="K101" s="38">
        <f>I101-J101</f>
        <v>0</v>
      </c>
      <c r="L101" s="49" t="e">
        <f>K101/E101</f>
        <v>#DIV/0!</v>
      </c>
      <c r="M101" s="117"/>
      <c r="N101" s="117"/>
      <c r="O101" s="38">
        <f>M101-N101</f>
        <v>0</v>
      </c>
      <c r="P101" s="25">
        <v>0</v>
      </c>
      <c r="Q101" s="115"/>
      <c r="R101" s="38">
        <f>P101-Q101</f>
        <v>0</v>
      </c>
      <c r="S101" s="25"/>
      <c r="T101" s="115"/>
      <c r="U101" s="38">
        <f>S101-T101</f>
        <v>0</v>
      </c>
      <c r="V101" s="49" t="e">
        <f>U101/E101</f>
        <v>#DIV/0!</v>
      </c>
    </row>
    <row r="102" spans="1:22" ht="25.5" x14ac:dyDescent="0.25">
      <c r="A102" s="23"/>
      <c r="B102" s="31" t="s">
        <v>131</v>
      </c>
      <c r="C102" s="25">
        <v>2</v>
      </c>
      <c r="D102" s="117"/>
      <c r="E102" s="38">
        <f>C102-D102</f>
        <v>2</v>
      </c>
      <c r="F102" s="25"/>
      <c r="G102" s="117"/>
      <c r="H102" s="38">
        <f>F102-G102</f>
        <v>0</v>
      </c>
      <c r="I102" s="25"/>
      <c r="J102" s="117"/>
      <c r="K102" s="38">
        <f>I102-J102</f>
        <v>0</v>
      </c>
      <c r="L102" s="49">
        <f>K102/E102</f>
        <v>0</v>
      </c>
      <c r="M102" s="117"/>
      <c r="N102" s="117"/>
      <c r="O102" s="38">
        <f>M102-N102</f>
        <v>0</v>
      </c>
      <c r="P102" s="25">
        <v>0</v>
      </c>
      <c r="Q102" s="115"/>
      <c r="R102" s="38">
        <f>P102-Q102</f>
        <v>0</v>
      </c>
      <c r="S102" s="25"/>
      <c r="T102" s="115"/>
      <c r="U102" s="38">
        <f>S102-T102</f>
        <v>0</v>
      </c>
      <c r="V102" s="49">
        <f>U102/E102</f>
        <v>0</v>
      </c>
    </row>
    <row r="103" spans="1:22" ht="25.5" x14ac:dyDescent="0.25">
      <c r="A103" s="23"/>
      <c r="B103" s="31" t="s">
        <v>132</v>
      </c>
      <c r="C103" s="25">
        <f>0+563.10572+5.90108+1311.41868</f>
        <v>1880.4254799999999</v>
      </c>
      <c r="D103" s="117"/>
      <c r="E103" s="38">
        <f>C103-D103</f>
        <v>1880.4254799999999</v>
      </c>
      <c r="F103" s="25">
        <v>593.29999999999995</v>
      </c>
      <c r="G103" s="117"/>
      <c r="H103" s="38">
        <f>F103-G103</f>
        <v>593.29999999999995</v>
      </c>
      <c r="I103" s="25">
        <f>0.09443+4.783+573.22227+0</f>
        <v>578.09969999999998</v>
      </c>
      <c r="J103" s="117"/>
      <c r="K103" s="38">
        <f>I103-J103</f>
        <v>578.09969999999998</v>
      </c>
      <c r="L103" s="49">
        <f>K103/E103</f>
        <v>0.30743026307003668</v>
      </c>
      <c r="M103" s="117">
        <f>3.654+376.70404+0+0.09443</f>
        <v>380.45247000000001</v>
      </c>
      <c r="N103" s="117"/>
      <c r="O103" s="38">
        <f>M103-N103</f>
        <v>380.45247000000001</v>
      </c>
      <c r="P103" s="25">
        <v>578.29999999999995</v>
      </c>
      <c r="Q103" s="115"/>
      <c r="R103" s="38">
        <f>P103-Q103</f>
        <v>578.29999999999995</v>
      </c>
      <c r="S103" s="25"/>
      <c r="T103" s="115"/>
      <c r="U103" s="38">
        <f>S103-T103</f>
        <v>0</v>
      </c>
      <c r="V103" s="49">
        <f>U103/E103</f>
        <v>0</v>
      </c>
    </row>
    <row r="104" spans="1:22" x14ac:dyDescent="0.25">
      <c r="A104" s="65"/>
      <c r="B104" s="11" t="s">
        <v>133</v>
      </c>
      <c r="C104" s="66">
        <f>C51</f>
        <v>3156519.8926999997</v>
      </c>
      <c r="D104" s="66">
        <f>D51</f>
        <v>1705867.6670299999</v>
      </c>
      <c r="E104" s="12">
        <f>C104-D104</f>
        <v>1450652.2256699998</v>
      </c>
      <c r="F104" s="66">
        <f>F51</f>
        <v>3360107.6049800003</v>
      </c>
      <c r="G104" s="66">
        <f>G51</f>
        <v>1804128.5594500001</v>
      </c>
      <c r="H104" s="12">
        <f t="shared" si="13"/>
        <v>1555979.0455300002</v>
      </c>
      <c r="I104" s="66">
        <f>I51</f>
        <v>3939979.6174499998</v>
      </c>
      <c r="J104" s="66">
        <f>J51</f>
        <v>2296704.6976800002</v>
      </c>
      <c r="K104" s="12">
        <f t="shared" si="14"/>
        <v>1643274.9197699996</v>
      </c>
      <c r="L104" s="13">
        <f>K104/E104</f>
        <v>1.1327835098526353</v>
      </c>
      <c r="M104" s="66">
        <f>M51</f>
        <v>3747292.3447799999</v>
      </c>
      <c r="N104" s="66">
        <f>N51</f>
        <v>2187765.0036299997</v>
      </c>
      <c r="O104" s="12">
        <f t="shared" si="15"/>
        <v>1559527.3411500002</v>
      </c>
      <c r="P104" s="66">
        <f>P51</f>
        <v>4109661.7451999998</v>
      </c>
      <c r="Q104" s="66">
        <f>Q51</f>
        <v>2473144.59968</v>
      </c>
      <c r="R104" s="12">
        <f t="shared" si="16"/>
        <v>1636517.1455199998</v>
      </c>
      <c r="S104" s="66">
        <f>S51</f>
        <v>115438.59999999999</v>
      </c>
      <c r="T104" s="66">
        <f>T51</f>
        <v>49924.2</v>
      </c>
      <c r="U104" s="12">
        <f t="shared" si="19"/>
        <v>65514.399999999994</v>
      </c>
      <c r="V104" s="13">
        <f>U104/E104</f>
        <v>4.5162030458224707E-2</v>
      </c>
    </row>
    <row r="105" spans="1:22" x14ac:dyDescent="0.25">
      <c r="A105" s="39"/>
      <c r="B105" s="67" t="s">
        <v>134</v>
      </c>
      <c r="C105" s="68">
        <f t="shared" ref="C105:E105" si="27">C50-C51</f>
        <v>37541.514310000464</v>
      </c>
      <c r="D105" s="68">
        <f t="shared" si="27"/>
        <v>-6361.1195699998643</v>
      </c>
      <c r="E105" s="68">
        <f t="shared" si="27"/>
        <v>43902.633880000329</v>
      </c>
      <c r="F105" s="68">
        <f t="shared" ref="F105:K105" si="28">F50-F51</f>
        <v>-135901.40453000041</v>
      </c>
      <c r="G105" s="68">
        <f t="shared" si="28"/>
        <v>0</v>
      </c>
      <c r="H105" s="68">
        <f t="shared" si="28"/>
        <v>-135901.40453000017</v>
      </c>
      <c r="I105" s="68">
        <f t="shared" si="28"/>
        <v>-135833.03074000031</v>
      </c>
      <c r="J105" s="68">
        <f t="shared" si="28"/>
        <v>-21751.287870000582</v>
      </c>
      <c r="K105" s="68">
        <f t="shared" si="28"/>
        <v>-114081.74286999973</v>
      </c>
      <c r="L105" s="68"/>
      <c r="M105" s="68">
        <f t="shared" ref="M105:Q105" si="29">M50-M51</f>
        <v>92991.537650000304</v>
      </c>
      <c r="N105" s="68">
        <f t="shared" si="29"/>
        <v>120776.68488000007</v>
      </c>
      <c r="O105" s="68">
        <f>M105-N105</f>
        <v>-27785.147229999769</v>
      </c>
      <c r="P105" s="68">
        <f t="shared" si="29"/>
        <v>-115200.01751999976</v>
      </c>
      <c r="Q105" s="68">
        <f t="shared" si="29"/>
        <v>0</v>
      </c>
      <c r="R105" s="68">
        <f>P105-Q105</f>
        <v>-115200.01751999976</v>
      </c>
      <c r="S105" s="68">
        <f>S50-S51</f>
        <v>-21295.919999999984</v>
      </c>
      <c r="T105" s="68">
        <f>T50-T51</f>
        <v>-0.319999999992433</v>
      </c>
      <c r="U105" s="68">
        <f>S105-T105</f>
        <v>-21295.599999999991</v>
      </c>
      <c r="V105" s="18"/>
    </row>
    <row r="106" spans="1:22" s="102" customFormat="1" ht="22.5" x14ac:dyDescent="0.25">
      <c r="A106" s="107"/>
      <c r="B106" s="108" t="s">
        <v>135</v>
      </c>
      <c r="C106" s="69">
        <v>37541.520470000003</v>
      </c>
      <c r="D106" s="69">
        <v>-784.34262000000001</v>
      </c>
      <c r="E106" s="69"/>
      <c r="F106" s="71"/>
      <c r="G106" s="118"/>
      <c r="H106" s="70"/>
      <c r="I106" s="71">
        <v>-113055.83074</v>
      </c>
      <c r="J106" s="118">
        <v>-21751.28787</v>
      </c>
      <c r="K106" s="71">
        <f>I106-J106</f>
        <v>-91304.542870000005</v>
      </c>
      <c r="L106" s="72"/>
      <c r="M106" s="69">
        <v>92991.537649999998</v>
      </c>
      <c r="N106" s="69">
        <v>120776.68488</v>
      </c>
      <c r="O106" s="125">
        <f>M106-N106</f>
        <v>-27785.147230000002</v>
      </c>
      <c r="P106" s="69"/>
      <c r="Q106" s="69"/>
      <c r="R106" s="69"/>
      <c r="S106" s="69"/>
      <c r="T106" s="69"/>
      <c r="U106" s="69"/>
      <c r="V106" s="72"/>
    </row>
    <row r="107" spans="1:22" ht="26.25" x14ac:dyDescent="0.25">
      <c r="A107" s="14" t="s">
        <v>136</v>
      </c>
      <c r="B107" s="73" t="s">
        <v>137</v>
      </c>
      <c r="C107" s="48">
        <f>C109+C110+C115+C118</f>
        <v>-37541.514310000464</v>
      </c>
      <c r="D107" s="48" t="s">
        <v>138</v>
      </c>
      <c r="E107" s="68" t="s">
        <v>138</v>
      </c>
      <c r="F107" s="119">
        <f>F109+F110+F115+F118</f>
        <v>135901.40453000041</v>
      </c>
      <c r="G107" s="48" t="s">
        <v>138</v>
      </c>
      <c r="H107" s="48" t="s">
        <v>138</v>
      </c>
      <c r="I107" s="119">
        <f>I109+I110+I115+I118</f>
        <v>135833.03074000031</v>
      </c>
      <c r="J107" s="48" t="s">
        <v>138</v>
      </c>
      <c r="K107" s="48" t="s">
        <v>138</v>
      </c>
      <c r="L107" s="18"/>
      <c r="M107" s="48">
        <f>M109+M110+M115+M118</f>
        <v>-92991.537650000304</v>
      </c>
      <c r="N107" s="48" t="s">
        <v>138</v>
      </c>
      <c r="O107" s="48" t="s">
        <v>138</v>
      </c>
      <c r="P107" s="48">
        <f>P109+P110+P115+P118</f>
        <v>115200.01751999976</v>
      </c>
      <c r="Q107" s="120" t="s">
        <v>138</v>
      </c>
      <c r="R107" s="120" t="s">
        <v>138</v>
      </c>
      <c r="S107" s="48">
        <f>S109+S110+S115+S118</f>
        <v>21295.919999999984</v>
      </c>
      <c r="T107" s="48" t="s">
        <v>138</v>
      </c>
      <c r="U107" s="48" t="s">
        <v>138</v>
      </c>
      <c r="V107" s="18"/>
    </row>
    <row r="108" spans="1:22" x14ac:dyDescent="0.25">
      <c r="A108" s="14"/>
      <c r="B108" s="24" t="s">
        <v>17</v>
      </c>
      <c r="C108" s="48"/>
      <c r="D108" s="48"/>
      <c r="E108" s="68"/>
      <c r="F108" s="113"/>
      <c r="G108" s="48"/>
      <c r="H108" s="48"/>
      <c r="I108" s="113"/>
      <c r="J108" s="48"/>
      <c r="K108" s="48"/>
      <c r="L108" s="18"/>
      <c r="M108" s="148"/>
      <c r="N108" s="48"/>
      <c r="O108" s="48"/>
      <c r="P108" s="113"/>
      <c r="Q108" s="113"/>
      <c r="R108" s="113"/>
      <c r="S108" s="113"/>
      <c r="T108" s="48"/>
      <c r="U108" s="48"/>
      <c r="V108" s="18"/>
    </row>
    <row r="109" spans="1:22" x14ac:dyDescent="0.25">
      <c r="A109" s="14" t="s">
        <v>139</v>
      </c>
      <c r="B109" s="73" t="s">
        <v>140</v>
      </c>
      <c r="C109" s="48">
        <f>C104-C50-C115-C110-C118</f>
        <v>-87626.683660000461</v>
      </c>
      <c r="D109" s="48" t="s">
        <v>138</v>
      </c>
      <c r="E109" s="68" t="s">
        <v>138</v>
      </c>
      <c r="F109" s="119">
        <f>F104-F50-F115-F110-F118</f>
        <v>22001.404530000407</v>
      </c>
      <c r="G109" s="119" t="s">
        <v>138</v>
      </c>
      <c r="H109" s="119" t="s">
        <v>138</v>
      </c>
      <c r="I109" s="119">
        <f>I104-I50-I115-I110-I118</f>
        <v>98788.83074000031</v>
      </c>
      <c r="J109" s="48" t="s">
        <v>138</v>
      </c>
      <c r="K109" s="48" t="s">
        <v>138</v>
      </c>
      <c r="L109" s="18"/>
      <c r="M109" s="48">
        <f>M104-M50-M115-M110-M118</f>
        <v>247671.6720499997</v>
      </c>
      <c r="N109" s="48" t="s">
        <v>138</v>
      </c>
      <c r="O109" s="48" t="s">
        <v>138</v>
      </c>
      <c r="P109" s="48">
        <f>P104-P50-P115-P110-P118</f>
        <v>-2.3283064365386963E-10</v>
      </c>
      <c r="Q109" s="48" t="s">
        <v>138</v>
      </c>
      <c r="R109" s="48" t="s">
        <v>138</v>
      </c>
      <c r="S109" s="48">
        <f>S104-S50-S115-S110-S118</f>
        <v>33301.519999999982</v>
      </c>
      <c r="T109" s="48" t="s">
        <v>138</v>
      </c>
      <c r="U109" s="48" t="s">
        <v>138</v>
      </c>
      <c r="V109" s="18"/>
    </row>
    <row r="110" spans="1:22" ht="26.25" x14ac:dyDescent="0.25">
      <c r="A110" s="14" t="s">
        <v>141</v>
      </c>
      <c r="B110" s="73" t="s">
        <v>142</v>
      </c>
      <c r="C110" s="48">
        <f>C111+C112+C113+C114</f>
        <v>-38510</v>
      </c>
      <c r="D110" s="48" t="s">
        <v>138</v>
      </c>
      <c r="E110" s="68" t="s">
        <v>138</v>
      </c>
      <c r="F110" s="48">
        <f>F111+F112+F113+F114</f>
        <v>-10790</v>
      </c>
      <c r="G110" s="48" t="s">
        <v>138</v>
      </c>
      <c r="H110" s="48" t="s">
        <v>138</v>
      </c>
      <c r="I110" s="48">
        <f>I111+I112+I113+I114</f>
        <v>-10790</v>
      </c>
      <c r="J110" s="48" t="s">
        <v>138</v>
      </c>
      <c r="K110" s="48" t="s">
        <v>138</v>
      </c>
      <c r="L110" s="18"/>
      <c r="M110" s="48">
        <f>M111+M112+M113+M114</f>
        <v>-10790</v>
      </c>
      <c r="N110" s="48" t="s">
        <v>138</v>
      </c>
      <c r="O110" s="48" t="s">
        <v>138</v>
      </c>
      <c r="P110" s="48">
        <f>P111+P112+P113+P114</f>
        <v>-10790</v>
      </c>
      <c r="Q110" s="48" t="s">
        <v>138</v>
      </c>
      <c r="R110" s="48" t="s">
        <v>138</v>
      </c>
      <c r="S110" s="48">
        <f>S111+S112+S113+S114</f>
        <v>0</v>
      </c>
      <c r="T110" s="48" t="s">
        <v>138</v>
      </c>
      <c r="U110" s="48" t="s">
        <v>138</v>
      </c>
      <c r="V110" s="18"/>
    </row>
    <row r="111" spans="1:22" x14ac:dyDescent="0.25">
      <c r="A111" s="14"/>
      <c r="B111" s="24" t="s">
        <v>143</v>
      </c>
      <c r="C111" s="115">
        <v>0</v>
      </c>
      <c r="D111" s="48" t="s">
        <v>138</v>
      </c>
      <c r="E111" s="68" t="s">
        <v>138</v>
      </c>
      <c r="F111" s="115"/>
      <c r="G111" s="48" t="s">
        <v>138</v>
      </c>
      <c r="H111" s="48" t="s">
        <v>138</v>
      </c>
      <c r="I111" s="115"/>
      <c r="J111" s="48" t="s">
        <v>138</v>
      </c>
      <c r="K111" s="48" t="s">
        <v>138</v>
      </c>
      <c r="L111" s="18"/>
      <c r="M111" s="115"/>
      <c r="N111" s="48" t="s">
        <v>138</v>
      </c>
      <c r="O111" s="48" t="s">
        <v>138</v>
      </c>
      <c r="P111" s="115"/>
      <c r="Q111" s="48" t="s">
        <v>138</v>
      </c>
      <c r="R111" s="48" t="s">
        <v>138</v>
      </c>
      <c r="S111" s="115"/>
      <c r="T111" s="48" t="s">
        <v>138</v>
      </c>
      <c r="U111" s="48" t="s">
        <v>138</v>
      </c>
      <c r="V111" s="18"/>
    </row>
    <row r="112" spans="1:22" ht="26.25" x14ac:dyDescent="0.25">
      <c r="A112" s="14"/>
      <c r="B112" s="24" t="s">
        <v>144</v>
      </c>
      <c r="C112" s="115">
        <v>0</v>
      </c>
      <c r="D112" s="48" t="s">
        <v>138</v>
      </c>
      <c r="E112" s="68" t="s">
        <v>138</v>
      </c>
      <c r="F112" s="115"/>
      <c r="G112" s="48" t="s">
        <v>138</v>
      </c>
      <c r="H112" s="48" t="s">
        <v>138</v>
      </c>
      <c r="I112" s="115"/>
      <c r="J112" s="48" t="s">
        <v>138</v>
      </c>
      <c r="K112" s="48" t="s">
        <v>138</v>
      </c>
      <c r="L112" s="18"/>
      <c r="M112" s="115"/>
      <c r="N112" s="48" t="s">
        <v>138</v>
      </c>
      <c r="O112" s="48" t="s">
        <v>138</v>
      </c>
      <c r="P112" s="115"/>
      <c r="Q112" s="48" t="s">
        <v>138</v>
      </c>
      <c r="R112" s="48" t="s">
        <v>138</v>
      </c>
      <c r="S112" s="115"/>
      <c r="T112" s="48" t="s">
        <v>138</v>
      </c>
      <c r="U112" s="48" t="s">
        <v>138</v>
      </c>
      <c r="V112" s="18"/>
    </row>
    <row r="113" spans="1:22" x14ac:dyDescent="0.25">
      <c r="A113" s="14"/>
      <c r="B113" s="24" t="s">
        <v>145</v>
      </c>
      <c r="C113" s="115">
        <v>-38510</v>
      </c>
      <c r="D113" s="48" t="s">
        <v>138</v>
      </c>
      <c r="E113" s="68" t="s">
        <v>138</v>
      </c>
      <c r="F113" s="115">
        <v>-10790</v>
      </c>
      <c r="G113" s="48" t="s">
        <v>138</v>
      </c>
      <c r="H113" s="48" t="s">
        <v>138</v>
      </c>
      <c r="I113" s="115">
        <v>-10790</v>
      </c>
      <c r="J113" s="48" t="s">
        <v>138</v>
      </c>
      <c r="K113" s="48" t="s">
        <v>138</v>
      </c>
      <c r="L113" s="18"/>
      <c r="M113" s="115">
        <f>I113</f>
        <v>-10790</v>
      </c>
      <c r="N113" s="48" t="s">
        <v>138</v>
      </c>
      <c r="O113" s="48" t="s">
        <v>138</v>
      </c>
      <c r="P113" s="115">
        <v>-10790</v>
      </c>
      <c r="Q113" s="48" t="s">
        <v>138</v>
      </c>
      <c r="R113" s="48" t="s">
        <v>138</v>
      </c>
      <c r="S113" s="115"/>
      <c r="T113" s="48" t="s">
        <v>138</v>
      </c>
      <c r="U113" s="48" t="s">
        <v>138</v>
      </c>
      <c r="V113" s="18"/>
    </row>
    <row r="114" spans="1:22" ht="26.25" x14ac:dyDescent="0.25">
      <c r="A114" s="14"/>
      <c r="B114" s="24" t="s">
        <v>146</v>
      </c>
      <c r="C114" s="115">
        <v>0</v>
      </c>
      <c r="D114" s="48" t="s">
        <v>138</v>
      </c>
      <c r="E114" s="68" t="s">
        <v>138</v>
      </c>
      <c r="F114" s="115"/>
      <c r="G114" s="48" t="s">
        <v>138</v>
      </c>
      <c r="H114" s="48" t="s">
        <v>138</v>
      </c>
      <c r="I114" s="115"/>
      <c r="J114" s="48" t="s">
        <v>138</v>
      </c>
      <c r="K114" s="48" t="s">
        <v>138</v>
      </c>
      <c r="L114" s="18"/>
      <c r="M114" s="115"/>
      <c r="N114" s="48" t="s">
        <v>138</v>
      </c>
      <c r="O114" s="48" t="s">
        <v>138</v>
      </c>
      <c r="P114" s="115"/>
      <c r="Q114" s="48" t="s">
        <v>138</v>
      </c>
      <c r="R114" s="48" t="s">
        <v>138</v>
      </c>
      <c r="S114" s="115"/>
      <c r="T114" s="48" t="s">
        <v>138</v>
      </c>
      <c r="U114" s="48" t="s">
        <v>138</v>
      </c>
      <c r="V114" s="18"/>
    </row>
    <row r="115" spans="1:22" x14ac:dyDescent="0.25">
      <c r="A115" s="14" t="s">
        <v>147</v>
      </c>
      <c r="B115" s="73" t="s">
        <v>148</v>
      </c>
      <c r="C115" s="48">
        <f>C116+C117</f>
        <v>0</v>
      </c>
      <c r="D115" s="48" t="s">
        <v>138</v>
      </c>
      <c r="E115" s="68" t="s">
        <v>138</v>
      </c>
      <c r="F115" s="48">
        <f>F116+F117</f>
        <v>124690</v>
      </c>
      <c r="G115" s="48" t="s">
        <v>138</v>
      </c>
      <c r="H115" s="48" t="s">
        <v>138</v>
      </c>
      <c r="I115" s="48">
        <f>I116+I117</f>
        <v>47834.2</v>
      </c>
      <c r="J115" s="48" t="s">
        <v>138</v>
      </c>
      <c r="K115" s="48" t="s">
        <v>138</v>
      </c>
      <c r="L115" s="18"/>
      <c r="M115" s="48">
        <f>M116+M117</f>
        <v>0</v>
      </c>
      <c r="N115" s="48" t="s">
        <v>138</v>
      </c>
      <c r="O115" s="48" t="s">
        <v>138</v>
      </c>
      <c r="P115" s="48">
        <f>P116+P117</f>
        <v>125990.01751999999</v>
      </c>
      <c r="Q115" s="48" t="s">
        <v>138</v>
      </c>
      <c r="R115" s="48" t="s">
        <v>138</v>
      </c>
      <c r="S115" s="48">
        <f>S116+S117</f>
        <v>0</v>
      </c>
      <c r="T115" s="48" t="s">
        <v>138</v>
      </c>
      <c r="U115" s="48" t="s">
        <v>138</v>
      </c>
      <c r="V115" s="18"/>
    </row>
    <row r="116" spans="1:22" x14ac:dyDescent="0.25">
      <c r="A116" s="23"/>
      <c r="B116" s="24" t="s">
        <v>149</v>
      </c>
      <c r="C116" s="115"/>
      <c r="D116" s="48" t="s">
        <v>138</v>
      </c>
      <c r="E116" s="68" t="s">
        <v>138</v>
      </c>
      <c r="F116" s="115">
        <v>124690</v>
      </c>
      <c r="G116" s="48" t="s">
        <v>138</v>
      </c>
      <c r="H116" s="48" t="s">
        <v>138</v>
      </c>
      <c r="I116" s="115">
        <v>47834.2</v>
      </c>
      <c r="J116" s="48" t="s">
        <v>138</v>
      </c>
      <c r="K116" s="48" t="s">
        <v>138</v>
      </c>
      <c r="L116" s="18"/>
      <c r="M116" s="115">
        <v>0</v>
      </c>
      <c r="N116" s="48" t="s">
        <v>138</v>
      </c>
      <c r="O116" s="48" t="s">
        <v>138</v>
      </c>
      <c r="P116" s="115">
        <v>125990.01751999999</v>
      </c>
      <c r="Q116" s="48" t="s">
        <v>138</v>
      </c>
      <c r="R116" s="48" t="s">
        <v>138</v>
      </c>
      <c r="S116" s="115">
        <v>0</v>
      </c>
      <c r="T116" s="48" t="s">
        <v>138</v>
      </c>
      <c r="U116" s="48" t="s">
        <v>138</v>
      </c>
      <c r="V116" s="18"/>
    </row>
    <row r="117" spans="1:22" x14ac:dyDescent="0.25">
      <c r="A117" s="14"/>
      <c r="B117" s="24" t="s">
        <v>145</v>
      </c>
      <c r="C117" s="119"/>
      <c r="D117" s="48" t="s">
        <v>138</v>
      </c>
      <c r="E117" s="68" t="s">
        <v>138</v>
      </c>
      <c r="F117" s="119"/>
      <c r="G117" s="48" t="s">
        <v>138</v>
      </c>
      <c r="H117" s="48" t="s">
        <v>138</v>
      </c>
      <c r="I117" s="119"/>
      <c r="J117" s="48" t="s">
        <v>138</v>
      </c>
      <c r="K117" s="48" t="s">
        <v>138</v>
      </c>
      <c r="L117" s="18"/>
      <c r="M117" s="119"/>
      <c r="N117" s="48" t="s">
        <v>138</v>
      </c>
      <c r="O117" s="48" t="s">
        <v>138</v>
      </c>
      <c r="P117" s="119"/>
      <c r="Q117" s="48" t="s">
        <v>138</v>
      </c>
      <c r="R117" s="48" t="s">
        <v>138</v>
      </c>
      <c r="S117" s="119"/>
      <c r="T117" s="48" t="s">
        <v>138</v>
      </c>
      <c r="U117" s="48" t="s">
        <v>138</v>
      </c>
      <c r="V117" s="18"/>
    </row>
    <row r="118" spans="1:22" ht="26.25" x14ac:dyDescent="0.25">
      <c r="A118" s="14" t="s">
        <v>150</v>
      </c>
      <c r="B118" s="73" t="s">
        <v>151</v>
      </c>
      <c r="C118" s="119">
        <f>C120</f>
        <v>88595.169349999996</v>
      </c>
      <c r="D118" s="48" t="s">
        <v>138</v>
      </c>
      <c r="E118" s="68" t="s">
        <v>138</v>
      </c>
      <c r="F118" s="119">
        <f>F120</f>
        <v>0</v>
      </c>
      <c r="G118" s="48" t="s">
        <v>138</v>
      </c>
      <c r="H118" s="48" t="s">
        <v>138</v>
      </c>
      <c r="I118" s="48">
        <v>0</v>
      </c>
      <c r="J118" s="48" t="s">
        <v>138</v>
      </c>
      <c r="K118" s="48" t="s">
        <v>138</v>
      </c>
      <c r="L118" s="18"/>
      <c r="M118" s="119">
        <f>M120</f>
        <v>-329873.20970000001</v>
      </c>
      <c r="N118" s="48" t="s">
        <v>138</v>
      </c>
      <c r="O118" s="48" t="s">
        <v>138</v>
      </c>
      <c r="P118" s="119">
        <f>P120</f>
        <v>0</v>
      </c>
      <c r="Q118" s="48" t="s">
        <v>138</v>
      </c>
      <c r="R118" s="48" t="s">
        <v>138</v>
      </c>
      <c r="S118" s="119">
        <f>S120</f>
        <v>-12005.6</v>
      </c>
      <c r="T118" s="48" t="s">
        <v>138</v>
      </c>
      <c r="U118" s="48" t="s">
        <v>138</v>
      </c>
      <c r="V118" s="18"/>
    </row>
    <row r="119" spans="1:22" x14ac:dyDescent="0.25">
      <c r="A119" s="14"/>
      <c r="B119" s="24" t="s">
        <v>17</v>
      </c>
      <c r="C119" s="119"/>
      <c r="D119" s="48"/>
      <c r="E119" s="68"/>
      <c r="F119" s="119"/>
      <c r="G119" s="48"/>
      <c r="H119" s="48"/>
      <c r="I119" s="48"/>
      <c r="J119" s="48"/>
      <c r="K119" s="48"/>
      <c r="L119" s="18"/>
      <c r="M119" s="119"/>
      <c r="N119" s="48"/>
      <c r="O119" s="48"/>
      <c r="P119" s="119"/>
      <c r="Q119" s="48"/>
      <c r="R119" s="48"/>
      <c r="S119" s="119"/>
      <c r="T119" s="48"/>
      <c r="U119" s="48"/>
      <c r="V119" s="18"/>
    </row>
    <row r="120" spans="1:22" ht="51" x14ac:dyDescent="0.25">
      <c r="A120" s="14"/>
      <c r="B120" s="74" t="s">
        <v>152</v>
      </c>
      <c r="C120" s="119">
        <v>88595.169349999996</v>
      </c>
      <c r="D120" s="48" t="s">
        <v>138</v>
      </c>
      <c r="E120" s="68" t="s">
        <v>138</v>
      </c>
      <c r="F120" s="119"/>
      <c r="G120" s="48" t="s">
        <v>138</v>
      </c>
      <c r="H120" s="48" t="s">
        <v>138</v>
      </c>
      <c r="I120" s="48" t="s">
        <v>138</v>
      </c>
      <c r="J120" s="48" t="s">
        <v>138</v>
      </c>
      <c r="K120" s="48" t="s">
        <v>138</v>
      </c>
      <c r="L120" s="18"/>
      <c r="M120" s="119">
        <v>-329873.20970000001</v>
      </c>
      <c r="N120" s="48" t="s">
        <v>138</v>
      </c>
      <c r="O120" s="48" t="s">
        <v>138</v>
      </c>
      <c r="P120" s="119">
        <v>0</v>
      </c>
      <c r="Q120" s="48" t="s">
        <v>138</v>
      </c>
      <c r="R120" s="48" t="s">
        <v>138</v>
      </c>
      <c r="S120" s="119">
        <v>-12005.6</v>
      </c>
      <c r="T120" s="48" t="s">
        <v>138</v>
      </c>
      <c r="U120" s="48" t="s">
        <v>138</v>
      </c>
      <c r="V120" s="18"/>
    </row>
    <row r="121" spans="1:22" ht="25.5" x14ac:dyDescent="0.25">
      <c r="A121" s="14"/>
      <c r="B121" s="31" t="s">
        <v>153</v>
      </c>
      <c r="C121" s="119"/>
      <c r="D121" s="48" t="s">
        <v>138</v>
      </c>
      <c r="E121" s="68" t="s">
        <v>138</v>
      </c>
      <c r="F121" s="119"/>
      <c r="G121" s="48" t="s">
        <v>138</v>
      </c>
      <c r="H121" s="48" t="s">
        <v>138</v>
      </c>
      <c r="I121" s="48" t="s">
        <v>138</v>
      </c>
      <c r="J121" s="48" t="s">
        <v>138</v>
      </c>
      <c r="K121" s="48" t="s">
        <v>138</v>
      </c>
      <c r="L121" s="18"/>
      <c r="M121" s="119"/>
      <c r="N121" s="48" t="s">
        <v>138</v>
      </c>
      <c r="O121" s="48" t="s">
        <v>138</v>
      </c>
      <c r="P121" s="119"/>
      <c r="Q121" s="48" t="s">
        <v>138</v>
      </c>
      <c r="R121" s="48" t="s">
        <v>138</v>
      </c>
      <c r="S121" s="119"/>
      <c r="T121" s="48" t="s">
        <v>138</v>
      </c>
      <c r="U121" s="48" t="s">
        <v>138</v>
      </c>
      <c r="V121" s="18"/>
    </row>
    <row r="122" spans="1:22" ht="25.5" x14ac:dyDescent="0.25">
      <c r="A122" s="14"/>
      <c r="B122" s="31" t="s">
        <v>154</v>
      </c>
      <c r="C122" s="119"/>
      <c r="D122" s="121" t="s">
        <v>138</v>
      </c>
      <c r="E122" s="68" t="s">
        <v>138</v>
      </c>
      <c r="F122" s="122"/>
      <c r="G122" s="48" t="s">
        <v>138</v>
      </c>
      <c r="H122" s="48" t="s">
        <v>138</v>
      </c>
      <c r="I122" s="48" t="s">
        <v>138</v>
      </c>
      <c r="J122" s="48" t="s">
        <v>138</v>
      </c>
      <c r="K122" s="48" t="s">
        <v>138</v>
      </c>
      <c r="L122" s="18"/>
      <c r="M122" s="122"/>
      <c r="N122" s="48" t="s">
        <v>138</v>
      </c>
      <c r="O122" s="48" t="s">
        <v>138</v>
      </c>
      <c r="P122" s="122"/>
      <c r="Q122" s="48" t="s">
        <v>138</v>
      </c>
      <c r="R122" s="48" t="s">
        <v>138</v>
      </c>
      <c r="S122" s="122"/>
      <c r="T122" s="48" t="s">
        <v>138</v>
      </c>
      <c r="U122" s="48" t="s">
        <v>138</v>
      </c>
      <c r="V122" s="18"/>
    </row>
    <row r="123" spans="1:22" ht="27.75" customHeight="1" x14ac:dyDescent="0.25">
      <c r="A123" s="75" t="s">
        <v>155</v>
      </c>
      <c r="B123" s="76" t="s">
        <v>156</v>
      </c>
      <c r="C123" s="121">
        <f>C124+C125</f>
        <v>666389.17417999997</v>
      </c>
      <c r="D123" s="121" t="s">
        <v>138</v>
      </c>
      <c r="E123" s="123" t="s">
        <v>138</v>
      </c>
      <c r="F123" s="48" t="s">
        <v>138</v>
      </c>
      <c r="G123" s="48" t="s">
        <v>138</v>
      </c>
      <c r="H123" s="121" t="s">
        <v>138</v>
      </c>
      <c r="I123" s="121" t="s">
        <v>138</v>
      </c>
      <c r="J123" s="121" t="s">
        <v>138</v>
      </c>
      <c r="K123" s="121" t="s">
        <v>138</v>
      </c>
      <c r="L123" s="18"/>
      <c r="M123" s="121">
        <f>M124+M125</f>
        <v>418717.50212999998</v>
      </c>
      <c r="N123" s="121" t="s">
        <v>138</v>
      </c>
      <c r="O123" s="121" t="s">
        <v>138</v>
      </c>
      <c r="P123" s="48" t="s">
        <v>138</v>
      </c>
      <c r="Q123" s="48" t="s">
        <v>138</v>
      </c>
      <c r="R123" s="48" t="s">
        <v>138</v>
      </c>
      <c r="S123" s="121">
        <f>S124+S125</f>
        <v>397421.58213</v>
      </c>
      <c r="T123" s="48" t="s">
        <v>138</v>
      </c>
      <c r="U123" s="48" t="s">
        <v>138</v>
      </c>
      <c r="V123" s="18"/>
    </row>
    <row r="124" spans="1:22" x14ac:dyDescent="0.25">
      <c r="A124" s="23"/>
      <c r="B124" s="24" t="s">
        <v>157</v>
      </c>
      <c r="C124" s="25">
        <f>1274</f>
        <v>1274</v>
      </c>
      <c r="D124" s="48" t="s">
        <v>138</v>
      </c>
      <c r="E124" s="68" t="s">
        <v>138</v>
      </c>
      <c r="F124" s="48" t="s">
        <v>138</v>
      </c>
      <c r="G124" s="48" t="s">
        <v>138</v>
      </c>
      <c r="H124" s="121" t="s">
        <v>138</v>
      </c>
      <c r="I124" s="121" t="s">
        <v>138</v>
      </c>
      <c r="J124" s="121" t="s">
        <v>138</v>
      </c>
      <c r="K124" s="121" t="s">
        <v>138</v>
      </c>
      <c r="L124" s="18"/>
      <c r="M124" s="124">
        <v>0</v>
      </c>
      <c r="N124" s="121" t="s">
        <v>138</v>
      </c>
      <c r="O124" s="121" t="s">
        <v>138</v>
      </c>
      <c r="P124" s="48" t="s">
        <v>138</v>
      </c>
      <c r="Q124" s="48" t="s">
        <v>138</v>
      </c>
      <c r="R124" s="48" t="s">
        <v>138</v>
      </c>
      <c r="S124" s="124">
        <f>M124+T105</f>
        <v>-0.319999999992433</v>
      </c>
      <c r="T124" s="48" t="s">
        <v>138</v>
      </c>
      <c r="U124" s="48" t="s">
        <v>138</v>
      </c>
      <c r="V124" s="18"/>
    </row>
    <row r="125" spans="1:22" x14ac:dyDescent="0.25">
      <c r="A125" s="77"/>
      <c r="B125" s="24" t="s">
        <v>158</v>
      </c>
      <c r="C125" s="119">
        <f>666389.17418-C124</f>
        <v>665115.17417999997</v>
      </c>
      <c r="D125" s="48" t="s">
        <v>138</v>
      </c>
      <c r="E125" s="68" t="s">
        <v>138</v>
      </c>
      <c r="F125" s="48" t="s">
        <v>138</v>
      </c>
      <c r="G125" s="48" t="s">
        <v>138</v>
      </c>
      <c r="H125" s="48" t="s">
        <v>138</v>
      </c>
      <c r="I125" s="48" t="s">
        <v>138</v>
      </c>
      <c r="J125" s="121" t="s">
        <v>138</v>
      </c>
      <c r="K125" s="121" t="s">
        <v>138</v>
      </c>
      <c r="L125" s="18"/>
      <c r="M125" s="122">
        <f>418717.50213-M124</f>
        <v>418717.50212999998</v>
      </c>
      <c r="N125" s="121" t="s">
        <v>138</v>
      </c>
      <c r="O125" s="121" t="s">
        <v>138</v>
      </c>
      <c r="P125" s="48" t="s">
        <v>138</v>
      </c>
      <c r="Q125" s="48" t="s">
        <v>138</v>
      </c>
      <c r="R125" s="48" t="s">
        <v>138</v>
      </c>
      <c r="S125" s="122">
        <f>M125+U105</f>
        <v>397421.90213</v>
      </c>
      <c r="T125" s="48" t="s">
        <v>138</v>
      </c>
      <c r="U125" s="48" t="s">
        <v>138</v>
      </c>
      <c r="V125" s="18"/>
    </row>
    <row r="126" spans="1:22" x14ac:dyDescent="0.25">
      <c r="A126" s="77"/>
      <c r="B126" s="24" t="s">
        <v>7</v>
      </c>
      <c r="C126" s="119"/>
      <c r="D126" s="48"/>
      <c r="E126" s="68"/>
      <c r="F126" s="48"/>
      <c r="G126" s="48"/>
      <c r="H126" s="48"/>
      <c r="I126" s="48"/>
      <c r="J126" s="121"/>
      <c r="K126" s="121"/>
      <c r="L126" s="18"/>
      <c r="M126" s="122"/>
      <c r="N126" s="121"/>
      <c r="O126" s="121"/>
      <c r="P126" s="48"/>
      <c r="Q126" s="48"/>
      <c r="R126" s="48"/>
      <c r="S126" s="122"/>
      <c r="T126" s="48"/>
      <c r="U126" s="48"/>
      <c r="V126" s="18"/>
    </row>
    <row r="127" spans="1:22" ht="50.25" customHeight="1" x14ac:dyDescent="0.25">
      <c r="A127" s="78"/>
      <c r="B127" s="20" t="s">
        <v>159</v>
      </c>
      <c r="C127" s="119">
        <f>1274</f>
        <v>1274</v>
      </c>
      <c r="D127" s="48" t="s">
        <v>138</v>
      </c>
      <c r="E127" s="68" t="s">
        <v>138</v>
      </c>
      <c r="F127" s="48" t="s">
        <v>138</v>
      </c>
      <c r="G127" s="48" t="s">
        <v>138</v>
      </c>
      <c r="H127" s="48" t="s">
        <v>138</v>
      </c>
      <c r="I127" s="48" t="s">
        <v>138</v>
      </c>
      <c r="J127" s="121" t="s">
        <v>138</v>
      </c>
      <c r="K127" s="121" t="s">
        <v>138</v>
      </c>
      <c r="L127" s="18"/>
      <c r="M127" s="122">
        <f>122767.2011+451.51989+2.898</f>
        <v>123221.61899</v>
      </c>
      <c r="N127" s="121" t="s">
        <v>138</v>
      </c>
      <c r="O127" s="121" t="s">
        <v>138</v>
      </c>
      <c r="P127" s="48" t="s">
        <v>138</v>
      </c>
      <c r="Q127" s="48" t="s">
        <v>138</v>
      </c>
      <c r="R127" s="48" t="s">
        <v>138</v>
      </c>
      <c r="S127" s="122">
        <f>M127</f>
        <v>123221.61899</v>
      </c>
      <c r="T127" s="48" t="s">
        <v>138</v>
      </c>
      <c r="U127" s="48" t="s">
        <v>138</v>
      </c>
      <c r="V127" s="18"/>
    </row>
    <row r="128" spans="1:22" s="111" customFormat="1" ht="28.5" customHeight="1" x14ac:dyDescent="0.25">
      <c r="A128" s="78"/>
      <c r="B128" s="20" t="s">
        <v>209</v>
      </c>
      <c r="C128" s="119">
        <f>587183.21642+1744.11245</f>
        <v>588927.32886999997</v>
      </c>
      <c r="D128" s="48" t="s">
        <v>138</v>
      </c>
      <c r="E128" s="48" t="s">
        <v>138</v>
      </c>
      <c r="F128" s="48" t="s">
        <v>138</v>
      </c>
      <c r="G128" s="48" t="s">
        <v>138</v>
      </c>
      <c r="H128" s="48" t="s">
        <v>138</v>
      </c>
      <c r="I128" s="48" t="s">
        <v>138</v>
      </c>
      <c r="J128" s="48" t="s">
        <v>138</v>
      </c>
      <c r="K128" s="48" t="s">
        <v>138</v>
      </c>
      <c r="L128" s="49"/>
      <c r="M128" s="122">
        <f>932.38075+258121.73842</f>
        <v>259054.11917000002</v>
      </c>
      <c r="N128" s="48" t="s">
        <v>138</v>
      </c>
      <c r="O128" s="48" t="s">
        <v>138</v>
      </c>
      <c r="P128" s="48" t="s">
        <v>138</v>
      </c>
      <c r="Q128" s="48" t="s">
        <v>138</v>
      </c>
      <c r="R128" s="48" t="s">
        <v>138</v>
      </c>
      <c r="S128" s="122">
        <f>M128+S118</f>
        <v>247048.51917000001</v>
      </c>
      <c r="T128" s="48" t="s">
        <v>138</v>
      </c>
      <c r="U128" s="48" t="s">
        <v>138</v>
      </c>
      <c r="V128" s="49"/>
    </row>
    <row r="129" spans="1:22" s="111" customFormat="1" ht="31.5" customHeight="1" x14ac:dyDescent="0.25">
      <c r="A129" s="78"/>
      <c r="B129" s="20" t="s">
        <v>219</v>
      </c>
      <c r="C129" s="119">
        <v>189.25899999999999</v>
      </c>
      <c r="D129" s="48" t="s">
        <v>138</v>
      </c>
      <c r="E129" s="68" t="s">
        <v>138</v>
      </c>
      <c r="F129" s="48" t="s">
        <v>138</v>
      </c>
      <c r="G129" s="48" t="s">
        <v>138</v>
      </c>
      <c r="H129" s="48" t="s">
        <v>138</v>
      </c>
      <c r="I129" s="48" t="s">
        <v>138</v>
      </c>
      <c r="J129" s="48" t="s">
        <v>138</v>
      </c>
      <c r="K129" s="48" t="s">
        <v>138</v>
      </c>
      <c r="L129" s="49"/>
      <c r="M129" s="122">
        <f>612.88713</f>
        <v>612.88712999999996</v>
      </c>
      <c r="N129" s="48" t="s">
        <v>138</v>
      </c>
      <c r="O129" s="48" t="s">
        <v>138</v>
      </c>
      <c r="P129" s="48" t="s">
        <v>138</v>
      </c>
      <c r="Q129" s="48" t="s">
        <v>138</v>
      </c>
      <c r="R129" s="48" t="s">
        <v>138</v>
      </c>
      <c r="S129" s="122">
        <f>M129+S151-S152</f>
        <v>612.88712999999984</v>
      </c>
      <c r="T129" s="48" t="s">
        <v>138</v>
      </c>
      <c r="U129" s="48" t="s">
        <v>138</v>
      </c>
      <c r="V129" s="49"/>
    </row>
    <row r="130" spans="1:22" s="111" customFormat="1" ht="69.75" customHeight="1" x14ac:dyDescent="0.25">
      <c r="A130" s="78"/>
      <c r="B130" s="20" t="s">
        <v>220</v>
      </c>
      <c r="C130" s="119">
        <v>26115.317780000001</v>
      </c>
      <c r="D130" s="48" t="s">
        <v>138</v>
      </c>
      <c r="E130" s="48" t="s">
        <v>138</v>
      </c>
      <c r="F130" s="48" t="s">
        <v>138</v>
      </c>
      <c r="G130" s="48" t="s">
        <v>138</v>
      </c>
      <c r="H130" s="48" t="s">
        <v>138</v>
      </c>
      <c r="I130" s="48" t="s">
        <v>138</v>
      </c>
      <c r="J130" s="48" t="s">
        <v>138</v>
      </c>
      <c r="K130" s="48" t="s">
        <v>138</v>
      </c>
      <c r="L130" s="49"/>
      <c r="M130" s="122">
        <f>40183.7869</f>
        <v>40183.786899999999</v>
      </c>
      <c r="N130" s="48" t="s">
        <v>138</v>
      </c>
      <c r="O130" s="48" t="s">
        <v>138</v>
      </c>
      <c r="P130" s="48" t="s">
        <v>138</v>
      </c>
      <c r="Q130" s="48" t="s">
        <v>138</v>
      </c>
      <c r="R130" s="48" t="s">
        <v>138</v>
      </c>
      <c r="S130" s="122">
        <f>M130+S30</f>
        <v>40183.786899999999</v>
      </c>
      <c r="T130" s="48" t="s">
        <v>138</v>
      </c>
      <c r="U130" s="48" t="s">
        <v>138</v>
      </c>
      <c r="V130" s="49"/>
    </row>
    <row r="131" spans="1:22" ht="26.25" x14ac:dyDescent="0.25">
      <c r="A131" s="75" t="s">
        <v>160</v>
      </c>
      <c r="B131" s="73" t="s">
        <v>161</v>
      </c>
      <c r="C131" s="122">
        <v>0</v>
      </c>
      <c r="D131" s="119"/>
      <c r="E131" s="125"/>
      <c r="F131" s="48" t="s">
        <v>138</v>
      </c>
      <c r="G131" s="48" t="s">
        <v>138</v>
      </c>
      <c r="H131" s="48" t="s">
        <v>138</v>
      </c>
      <c r="I131" s="48" t="s">
        <v>138</v>
      </c>
      <c r="J131" s="48" t="s">
        <v>138</v>
      </c>
      <c r="K131" s="48" t="s">
        <v>138</v>
      </c>
      <c r="L131" s="126" t="s">
        <v>138</v>
      </c>
      <c r="M131" s="122">
        <v>0</v>
      </c>
      <c r="N131" s="122"/>
      <c r="O131" s="122"/>
      <c r="P131" s="48" t="s">
        <v>138</v>
      </c>
      <c r="Q131" s="122"/>
      <c r="R131" s="122"/>
      <c r="S131" s="122"/>
      <c r="T131" s="122"/>
      <c r="U131" s="122"/>
      <c r="V131" s="18" t="e">
        <f t="shared" ref="V131:V147" si="30">U131/E131</f>
        <v>#DIV/0!</v>
      </c>
    </row>
    <row r="132" spans="1:22" s="112" customFormat="1" ht="20.25" customHeight="1" x14ac:dyDescent="0.25">
      <c r="A132" s="75" t="s">
        <v>162</v>
      </c>
      <c r="B132" s="79" t="s">
        <v>163</v>
      </c>
      <c r="C132" s="127">
        <f>SUM(C133:C146)</f>
        <v>3156520</v>
      </c>
      <c r="D132" s="127">
        <f t="shared" ref="D132:T132" si="31">SUM(D133:D146)</f>
        <v>1705868</v>
      </c>
      <c r="E132" s="128">
        <f>C132-D132</f>
        <v>1450652</v>
      </c>
      <c r="F132" s="127">
        <f>SUM(F133:F146)</f>
        <v>3360107.6049799998</v>
      </c>
      <c r="G132" s="127">
        <f t="shared" si="31"/>
        <v>1804128.5594500001</v>
      </c>
      <c r="H132" s="128">
        <f>F132-G132</f>
        <v>1555979.0455299998</v>
      </c>
      <c r="I132" s="127">
        <f t="shared" si="31"/>
        <v>3939979.6174499993</v>
      </c>
      <c r="J132" s="127">
        <f t="shared" si="31"/>
        <v>2296704.6976800002</v>
      </c>
      <c r="K132" s="128">
        <f>I132-J132</f>
        <v>1643274.9197699991</v>
      </c>
      <c r="L132" s="18">
        <f t="shared" ref="L132:L147" si="32">K132/E132</f>
        <v>1.1327836860735718</v>
      </c>
      <c r="M132" s="127">
        <f t="shared" si="31"/>
        <v>3747292.3447799999</v>
      </c>
      <c r="N132" s="129">
        <f t="shared" si="31"/>
        <v>2187765.0036299997</v>
      </c>
      <c r="O132" s="128">
        <f>M132-N132</f>
        <v>1559527.3411500002</v>
      </c>
      <c r="P132" s="129">
        <f t="shared" si="31"/>
        <v>4109661.7452000002</v>
      </c>
      <c r="Q132" s="129">
        <f t="shared" si="31"/>
        <v>2473144.59968</v>
      </c>
      <c r="R132" s="128">
        <f>P132-Q132</f>
        <v>1636517.1455200003</v>
      </c>
      <c r="S132" s="129">
        <f t="shared" si="31"/>
        <v>115438.2</v>
      </c>
      <c r="T132" s="129">
        <f t="shared" si="31"/>
        <v>49923.8</v>
      </c>
      <c r="U132" s="128">
        <f>S132-T132</f>
        <v>65514.399999999994</v>
      </c>
      <c r="V132" s="18">
        <f t="shared" si="30"/>
        <v>4.5162037483834849E-2</v>
      </c>
    </row>
    <row r="133" spans="1:22" x14ac:dyDescent="0.25">
      <c r="A133" s="80"/>
      <c r="B133" s="81" t="s">
        <v>164</v>
      </c>
      <c r="C133" s="130">
        <v>363935</v>
      </c>
      <c r="D133" s="130">
        <v>6060</v>
      </c>
      <c r="E133" s="131">
        <f>C133-D133</f>
        <v>357875</v>
      </c>
      <c r="F133" s="117">
        <v>406068.72649999999</v>
      </c>
      <c r="G133" s="117">
        <v>1073.2265</v>
      </c>
      <c r="H133" s="131">
        <f>F133-G133</f>
        <v>404995.5</v>
      </c>
      <c r="I133" s="132">
        <v>473072.51058</v>
      </c>
      <c r="J133" s="132">
        <v>19140.864659999999</v>
      </c>
      <c r="K133" s="131">
        <f>I133-J133</f>
        <v>453931.64591999998</v>
      </c>
      <c r="L133" s="18">
        <f t="shared" si="32"/>
        <v>1.2684083714145999</v>
      </c>
      <c r="M133" s="132">
        <v>453444.98658000003</v>
      </c>
      <c r="N133" s="132">
        <v>19132.08599</v>
      </c>
      <c r="O133" s="131">
        <f>M133-N133</f>
        <v>434312.90059000003</v>
      </c>
      <c r="P133" s="132">
        <v>446335.88900000002</v>
      </c>
      <c r="Q133" s="132">
        <v>1029.9780000000001</v>
      </c>
      <c r="R133" s="131">
        <f>P133-Q133</f>
        <v>445305.91100000002</v>
      </c>
      <c r="S133" s="132">
        <v>11412.3</v>
      </c>
      <c r="T133" s="132">
        <v>28</v>
      </c>
      <c r="U133" s="131">
        <f>S133-T133</f>
        <v>11384.3</v>
      </c>
      <c r="V133" s="18">
        <f t="shared" si="30"/>
        <v>3.1810827803003837E-2</v>
      </c>
    </row>
    <row r="134" spans="1:22" x14ac:dyDescent="0.25">
      <c r="A134" s="80"/>
      <c r="B134" s="82" t="s">
        <v>165</v>
      </c>
      <c r="C134" s="130">
        <v>2559</v>
      </c>
      <c r="D134" s="130">
        <v>2559</v>
      </c>
      <c r="E134" s="131">
        <f t="shared" ref="E134:E146" si="33">C134-D134</f>
        <v>0</v>
      </c>
      <c r="F134" s="115">
        <v>2677.5922500000001</v>
      </c>
      <c r="G134" s="115">
        <f>F134</f>
        <v>2677.5922500000001</v>
      </c>
      <c r="H134" s="131">
        <f t="shared" ref="H134:H146" si="34">F134-G134</f>
        <v>0</v>
      </c>
      <c r="I134" s="25">
        <v>2979.1768699999998</v>
      </c>
      <c r="J134" s="25">
        <f>I134</f>
        <v>2979.1768699999998</v>
      </c>
      <c r="K134" s="131">
        <f t="shared" ref="K134:K146" si="35">I134-J134</f>
        <v>0</v>
      </c>
      <c r="L134" s="18" t="e">
        <f t="shared" si="32"/>
        <v>#DIV/0!</v>
      </c>
      <c r="M134" s="25">
        <v>2965.4297999999999</v>
      </c>
      <c r="N134" s="25">
        <f>M134</f>
        <v>2965.4297999999999</v>
      </c>
      <c r="O134" s="131">
        <f t="shared" ref="O134:O146" si="36">M134-N134</f>
        <v>0</v>
      </c>
      <c r="P134" s="132">
        <v>2653.5441999999998</v>
      </c>
      <c r="Q134" s="132">
        <f>P134</f>
        <v>2653.5441999999998</v>
      </c>
      <c r="R134" s="131">
        <f t="shared" ref="R134:R146" si="37">P134-Q134</f>
        <v>0</v>
      </c>
      <c r="S134" s="132">
        <v>80</v>
      </c>
      <c r="T134" s="132">
        <v>54</v>
      </c>
      <c r="U134" s="131">
        <f t="shared" ref="U134:U145" si="38">S134-T134</f>
        <v>26</v>
      </c>
      <c r="V134" s="18" t="e">
        <f t="shared" si="30"/>
        <v>#DIV/0!</v>
      </c>
    </row>
    <row r="135" spans="1:22" x14ac:dyDescent="0.25">
      <c r="A135" s="80"/>
      <c r="B135" s="82" t="s">
        <v>166</v>
      </c>
      <c r="C135" s="25">
        <v>22216</v>
      </c>
      <c r="D135" s="25">
        <v>3083</v>
      </c>
      <c r="E135" s="131">
        <f t="shared" si="33"/>
        <v>19133</v>
      </c>
      <c r="F135" s="115">
        <v>27377.812379999999</v>
      </c>
      <c r="G135" s="115">
        <v>3340.0123800000001</v>
      </c>
      <c r="H135" s="131">
        <f t="shared" si="34"/>
        <v>24037.8</v>
      </c>
      <c r="I135" s="25">
        <v>27414.838489999998</v>
      </c>
      <c r="J135" s="25">
        <v>3429.8054900000002</v>
      </c>
      <c r="K135" s="131">
        <f t="shared" si="35"/>
        <v>23985.032999999999</v>
      </c>
      <c r="L135" s="18">
        <f t="shared" si="32"/>
        <v>1.2535949929441279</v>
      </c>
      <c r="M135" s="25">
        <v>25668.480930000002</v>
      </c>
      <c r="N135" s="25">
        <v>3411.7733699999999</v>
      </c>
      <c r="O135" s="131">
        <f t="shared" si="36"/>
        <v>22256.707560000003</v>
      </c>
      <c r="P135" s="132">
        <v>24624.390790000001</v>
      </c>
      <c r="Q135" s="132">
        <v>3704.29079</v>
      </c>
      <c r="R135" s="131">
        <f t="shared" si="37"/>
        <v>20920.100000000002</v>
      </c>
      <c r="S135" s="132">
        <v>399</v>
      </c>
      <c r="T135" s="132">
        <v>110</v>
      </c>
      <c r="U135" s="131">
        <f t="shared" si="38"/>
        <v>289</v>
      </c>
      <c r="V135" s="18">
        <f t="shared" si="30"/>
        <v>1.5104792766424503E-2</v>
      </c>
    </row>
    <row r="136" spans="1:22" x14ac:dyDescent="0.25">
      <c r="A136" s="80"/>
      <c r="B136" s="82" t="s">
        <v>167</v>
      </c>
      <c r="C136" s="25">
        <v>123926</v>
      </c>
      <c r="D136" s="25">
        <v>64727</v>
      </c>
      <c r="E136" s="131">
        <f t="shared" si="33"/>
        <v>59199</v>
      </c>
      <c r="F136" s="115">
        <v>133022.5662</v>
      </c>
      <c r="G136" s="115">
        <v>47321.866800000003</v>
      </c>
      <c r="H136" s="131">
        <f t="shared" si="34"/>
        <v>85700.699399999998</v>
      </c>
      <c r="I136" s="25">
        <v>275013.52026999998</v>
      </c>
      <c r="J136" s="25">
        <v>182820.50247000001</v>
      </c>
      <c r="K136" s="131">
        <f t="shared" si="35"/>
        <v>92193.017799999972</v>
      </c>
      <c r="L136" s="18">
        <f t="shared" si="32"/>
        <v>1.5573407962972343</v>
      </c>
      <c r="M136" s="25">
        <v>266467.22411000001</v>
      </c>
      <c r="N136" s="25">
        <v>176340.71895000001</v>
      </c>
      <c r="O136" s="131">
        <f t="shared" si="36"/>
        <v>90126.505160000001</v>
      </c>
      <c r="P136" s="132">
        <v>147076.36095</v>
      </c>
      <c r="Q136" s="132">
        <v>51621.231950000001</v>
      </c>
      <c r="R136" s="131">
        <f t="shared" si="37"/>
        <v>95455.129000000001</v>
      </c>
      <c r="S136" s="132">
        <v>4112.3</v>
      </c>
      <c r="T136" s="132"/>
      <c r="U136" s="131">
        <f t="shared" si="38"/>
        <v>4112.3</v>
      </c>
      <c r="V136" s="18">
        <f t="shared" si="30"/>
        <v>6.946570043412896E-2</v>
      </c>
    </row>
    <row r="137" spans="1:22" x14ac:dyDescent="0.25">
      <c r="A137" s="80"/>
      <c r="B137" s="82" t="s">
        <v>168</v>
      </c>
      <c r="C137" s="25">
        <v>389260</v>
      </c>
      <c r="D137" s="25">
        <v>128306</v>
      </c>
      <c r="E137" s="131">
        <f t="shared" si="33"/>
        <v>260954</v>
      </c>
      <c r="F137" s="115">
        <v>349420.55729999999</v>
      </c>
      <c r="G137" s="115">
        <v>90192.642370000001</v>
      </c>
      <c r="H137" s="131">
        <f t="shared" si="34"/>
        <v>259227.91492999997</v>
      </c>
      <c r="I137" s="25">
        <v>547159.71649999998</v>
      </c>
      <c r="J137" s="25">
        <v>279321.08155</v>
      </c>
      <c r="K137" s="131">
        <f t="shared" si="35"/>
        <v>267838.63494999998</v>
      </c>
      <c r="L137" s="18">
        <f t="shared" si="32"/>
        <v>1.0263825614859323</v>
      </c>
      <c r="M137" s="25">
        <v>436514.79022999998</v>
      </c>
      <c r="N137" s="25">
        <v>185684.92285</v>
      </c>
      <c r="O137" s="131">
        <f t="shared" si="36"/>
        <v>250829.86737999998</v>
      </c>
      <c r="P137" s="132">
        <v>572503.83837999997</v>
      </c>
      <c r="Q137" s="132">
        <v>374415.73838</v>
      </c>
      <c r="R137" s="131">
        <f t="shared" si="37"/>
        <v>198088.09999999998</v>
      </c>
      <c r="S137" s="132">
        <v>1874.3</v>
      </c>
      <c r="T137" s="132">
        <v>458.3</v>
      </c>
      <c r="U137" s="131">
        <f t="shared" si="38"/>
        <v>1416</v>
      </c>
      <c r="V137" s="18">
        <f t="shared" si="30"/>
        <v>5.4262437057872271E-3</v>
      </c>
    </row>
    <row r="138" spans="1:22" x14ac:dyDescent="0.25">
      <c r="A138" s="80"/>
      <c r="B138" s="82" t="s">
        <v>169</v>
      </c>
      <c r="C138" s="25">
        <v>9611</v>
      </c>
      <c r="D138" s="25">
        <v>3271</v>
      </c>
      <c r="E138" s="131">
        <f t="shared" si="33"/>
        <v>6340</v>
      </c>
      <c r="F138" s="115">
        <v>48415.4</v>
      </c>
      <c r="G138" s="115">
        <v>0</v>
      </c>
      <c r="H138" s="131">
        <f t="shared" si="34"/>
        <v>48415.4</v>
      </c>
      <c r="I138" s="25">
        <v>41494.216800000002</v>
      </c>
      <c r="J138" s="25">
        <v>0</v>
      </c>
      <c r="K138" s="131">
        <f t="shared" si="35"/>
        <v>41494.216800000002</v>
      </c>
      <c r="L138" s="18">
        <f t="shared" si="32"/>
        <v>6.5448291482649843</v>
      </c>
      <c r="M138" s="25">
        <v>1365.8040000000001</v>
      </c>
      <c r="N138" s="25">
        <v>0</v>
      </c>
      <c r="O138" s="131">
        <f t="shared" si="36"/>
        <v>1365.8040000000001</v>
      </c>
      <c r="P138" s="132">
        <v>13126.9</v>
      </c>
      <c r="Q138" s="132"/>
      <c r="R138" s="131">
        <f t="shared" si="37"/>
        <v>13126.9</v>
      </c>
      <c r="S138" s="132">
        <v>0</v>
      </c>
      <c r="T138" s="132"/>
      <c r="U138" s="131">
        <f t="shared" si="38"/>
        <v>0</v>
      </c>
      <c r="V138" s="18">
        <f t="shared" si="30"/>
        <v>0</v>
      </c>
    </row>
    <row r="139" spans="1:22" x14ac:dyDescent="0.25">
      <c r="A139" s="80"/>
      <c r="B139" s="82" t="s">
        <v>170</v>
      </c>
      <c r="C139" s="25">
        <v>1699241</v>
      </c>
      <c r="D139" s="25">
        <v>1154977</v>
      </c>
      <c r="E139" s="131">
        <f t="shared" si="33"/>
        <v>544264</v>
      </c>
      <c r="F139" s="115">
        <v>1931927.12225</v>
      </c>
      <c r="G139" s="115">
        <v>1392298.9222500001</v>
      </c>
      <c r="H139" s="131">
        <f t="shared" si="34"/>
        <v>539628.19999999995</v>
      </c>
      <c r="I139" s="25">
        <v>1990846.5423999999</v>
      </c>
      <c r="J139" s="25">
        <v>1443155.90264</v>
      </c>
      <c r="K139" s="131">
        <f t="shared" si="35"/>
        <v>547690.63975999993</v>
      </c>
      <c r="L139" s="18">
        <f t="shared" si="32"/>
        <v>1.0062959147766524</v>
      </c>
      <c r="M139" s="25">
        <v>1985647.57874</v>
      </c>
      <c r="N139" s="25">
        <v>1439887.5888</v>
      </c>
      <c r="O139" s="131">
        <f t="shared" si="36"/>
        <v>545759.98994</v>
      </c>
      <c r="P139" s="132">
        <v>2458803.8533600001</v>
      </c>
      <c r="Q139" s="132">
        <v>1829124.8533600001</v>
      </c>
      <c r="R139" s="131">
        <f t="shared" si="37"/>
        <v>629679</v>
      </c>
      <c r="S139" s="132">
        <v>80598.7</v>
      </c>
      <c r="T139" s="132">
        <v>40214</v>
      </c>
      <c r="U139" s="131">
        <f t="shared" si="38"/>
        <v>40384.699999999997</v>
      </c>
      <c r="V139" s="18">
        <f t="shared" si="30"/>
        <v>7.4200571781341401E-2</v>
      </c>
    </row>
    <row r="140" spans="1:22" x14ac:dyDescent="0.25">
      <c r="A140" s="80"/>
      <c r="B140" s="82" t="s">
        <v>171</v>
      </c>
      <c r="C140" s="25">
        <v>312117</v>
      </c>
      <c r="D140" s="25">
        <v>215747</v>
      </c>
      <c r="E140" s="131">
        <f t="shared" si="33"/>
        <v>96370</v>
      </c>
      <c r="F140" s="115">
        <v>209813.64</v>
      </c>
      <c r="G140" s="115">
        <f>118321.6388+22.6</f>
        <v>118344.23880000001</v>
      </c>
      <c r="H140" s="131">
        <f t="shared" si="34"/>
        <v>91469.401200000008</v>
      </c>
      <c r="I140" s="25">
        <v>314577.85976999998</v>
      </c>
      <c r="J140" s="25">
        <v>205211.37028</v>
      </c>
      <c r="K140" s="131">
        <f t="shared" si="35"/>
        <v>109366.48948999998</v>
      </c>
      <c r="L140" s="18">
        <f t="shared" si="32"/>
        <v>1.1348603246861053</v>
      </c>
      <c r="M140" s="25">
        <v>314034.41052999999</v>
      </c>
      <c r="N140" s="25">
        <v>205208.47227999999</v>
      </c>
      <c r="O140" s="131">
        <f t="shared" si="36"/>
        <v>108825.93825000001</v>
      </c>
      <c r="P140" s="132">
        <v>181242.02799999999</v>
      </c>
      <c r="Q140" s="132">
        <v>63723.328000000001</v>
      </c>
      <c r="R140" s="131">
        <f t="shared" si="37"/>
        <v>117518.69999999998</v>
      </c>
      <c r="S140" s="132">
        <v>6405.3</v>
      </c>
      <c r="T140" s="132">
        <v>3114.2</v>
      </c>
      <c r="U140" s="131">
        <f t="shared" si="38"/>
        <v>3291.1000000000004</v>
      </c>
      <c r="V140" s="18">
        <f t="shared" si="30"/>
        <v>3.4150669295423888E-2</v>
      </c>
    </row>
    <row r="141" spans="1:22" x14ac:dyDescent="0.25">
      <c r="A141" s="80"/>
      <c r="B141" s="82" t="s">
        <v>172</v>
      </c>
      <c r="C141" s="25"/>
      <c r="D141" s="25"/>
      <c r="E141" s="131">
        <f t="shared" si="33"/>
        <v>0</v>
      </c>
      <c r="F141" s="115"/>
      <c r="G141" s="115"/>
      <c r="H141" s="131">
        <f t="shared" si="34"/>
        <v>0</v>
      </c>
      <c r="I141" s="25"/>
      <c r="J141" s="25"/>
      <c r="K141" s="131">
        <f t="shared" si="35"/>
        <v>0</v>
      </c>
      <c r="L141" s="18" t="e">
        <f t="shared" si="32"/>
        <v>#DIV/0!</v>
      </c>
      <c r="M141" s="25"/>
      <c r="N141" s="25"/>
      <c r="O141" s="131">
        <f t="shared" si="36"/>
        <v>0</v>
      </c>
      <c r="P141" s="132"/>
      <c r="Q141" s="132"/>
      <c r="R141" s="131">
        <f t="shared" si="37"/>
        <v>0</v>
      </c>
      <c r="S141" s="132"/>
      <c r="T141" s="132"/>
      <c r="U141" s="131">
        <f t="shared" si="38"/>
        <v>0</v>
      </c>
      <c r="V141" s="18" t="e">
        <f t="shared" si="30"/>
        <v>#DIV/0!</v>
      </c>
    </row>
    <row r="142" spans="1:22" x14ac:dyDescent="0.25">
      <c r="A142" s="80"/>
      <c r="B142" s="82" t="s">
        <v>173</v>
      </c>
      <c r="C142" s="25">
        <v>104911</v>
      </c>
      <c r="D142" s="25">
        <v>98787</v>
      </c>
      <c r="E142" s="131">
        <f t="shared" si="33"/>
        <v>6124</v>
      </c>
      <c r="F142" s="115">
        <v>124867.92110000001</v>
      </c>
      <c r="G142" s="115">
        <f>118272.0211-22.6</f>
        <v>118249.42109999999</v>
      </c>
      <c r="H142" s="131">
        <f t="shared" si="34"/>
        <v>6618.5000000000146</v>
      </c>
      <c r="I142" s="25">
        <v>121500.7377</v>
      </c>
      <c r="J142" s="25">
        <v>114942.3377</v>
      </c>
      <c r="K142" s="131">
        <f t="shared" si="35"/>
        <v>6558.3999999999942</v>
      </c>
      <c r="L142" s="18">
        <f t="shared" si="32"/>
        <v>1.0709340300457209</v>
      </c>
      <c r="M142" s="25">
        <v>115988.21032</v>
      </c>
      <c r="N142" s="25">
        <v>109430.46756999999</v>
      </c>
      <c r="O142" s="131">
        <f t="shared" si="36"/>
        <v>6557.7427500000049</v>
      </c>
      <c r="P142" s="132">
        <v>135376.64051999999</v>
      </c>
      <c r="Q142" s="132">
        <v>128242.83500000001</v>
      </c>
      <c r="R142" s="131">
        <f t="shared" si="37"/>
        <v>7133.8055199999799</v>
      </c>
      <c r="S142" s="132">
        <v>5945.3</v>
      </c>
      <c r="T142" s="132">
        <f>S142</f>
        <v>5945.3</v>
      </c>
      <c r="U142" s="131">
        <f t="shared" si="38"/>
        <v>0</v>
      </c>
      <c r="V142" s="18">
        <f t="shared" si="30"/>
        <v>0</v>
      </c>
    </row>
    <row r="143" spans="1:22" x14ac:dyDescent="0.25">
      <c r="A143" s="80"/>
      <c r="B143" s="82" t="s">
        <v>174</v>
      </c>
      <c r="C143" s="25">
        <v>119444</v>
      </c>
      <c r="D143" s="25">
        <v>28351</v>
      </c>
      <c r="E143" s="131">
        <f t="shared" si="33"/>
        <v>91093</v>
      </c>
      <c r="F143" s="115">
        <v>116779.867</v>
      </c>
      <c r="G143" s="115">
        <v>30630.636999999999</v>
      </c>
      <c r="H143" s="131">
        <f t="shared" si="34"/>
        <v>86149.23</v>
      </c>
      <c r="I143" s="25">
        <v>135503.45456000001</v>
      </c>
      <c r="J143" s="25">
        <v>45512.900079999999</v>
      </c>
      <c r="K143" s="131">
        <f t="shared" si="35"/>
        <v>89990.554480000021</v>
      </c>
      <c r="L143" s="18">
        <f t="shared" si="32"/>
        <v>0.98789758247066206</v>
      </c>
      <c r="M143" s="25">
        <v>134778.38602999999</v>
      </c>
      <c r="N143" s="25">
        <v>45512.788079999998</v>
      </c>
      <c r="O143" s="131">
        <f t="shared" si="36"/>
        <v>89265.597949999996</v>
      </c>
      <c r="P143" s="132">
        <v>116288.1</v>
      </c>
      <c r="Q143" s="132">
        <v>18628.8</v>
      </c>
      <c r="R143" s="131">
        <f t="shared" si="37"/>
        <v>97659.3</v>
      </c>
      <c r="S143" s="132">
        <v>4111</v>
      </c>
      <c r="T143" s="132"/>
      <c r="U143" s="131">
        <f t="shared" si="38"/>
        <v>4111</v>
      </c>
      <c r="V143" s="18">
        <f t="shared" si="30"/>
        <v>4.5129702611616702E-2</v>
      </c>
    </row>
    <row r="144" spans="1:22" x14ac:dyDescent="0.25">
      <c r="A144" s="80"/>
      <c r="B144" s="82" t="s">
        <v>175</v>
      </c>
      <c r="C144" s="25">
        <v>9219</v>
      </c>
      <c r="D144" s="25"/>
      <c r="E144" s="131">
        <f t="shared" si="33"/>
        <v>9219</v>
      </c>
      <c r="F144" s="115">
        <v>9592.9</v>
      </c>
      <c r="G144" s="115"/>
      <c r="H144" s="131">
        <f t="shared" si="34"/>
        <v>9592.9</v>
      </c>
      <c r="I144" s="25">
        <v>10370.905940000001</v>
      </c>
      <c r="J144" s="25">
        <v>190.75594000000001</v>
      </c>
      <c r="K144" s="131">
        <f t="shared" si="35"/>
        <v>10180.150000000001</v>
      </c>
      <c r="L144" s="18">
        <f t="shared" si="32"/>
        <v>1.104257511660701</v>
      </c>
      <c r="M144" s="25">
        <v>10370.905940000001</v>
      </c>
      <c r="N144" s="25">
        <v>190.75594000000001</v>
      </c>
      <c r="O144" s="131">
        <f t="shared" si="36"/>
        <v>10180.150000000001</v>
      </c>
      <c r="P144" s="132">
        <v>11490.2</v>
      </c>
      <c r="Q144" s="132">
        <v>0</v>
      </c>
      <c r="R144" s="131">
        <f t="shared" si="37"/>
        <v>11490.2</v>
      </c>
      <c r="S144" s="132">
        <v>500</v>
      </c>
      <c r="T144" s="132"/>
      <c r="U144" s="131">
        <f t="shared" si="38"/>
        <v>500</v>
      </c>
      <c r="V144" s="18">
        <f t="shared" si="30"/>
        <v>5.4235817333767221E-2</v>
      </c>
    </row>
    <row r="145" spans="1:22" x14ac:dyDescent="0.25">
      <c r="A145" s="80"/>
      <c r="B145" s="82" t="s">
        <v>176</v>
      </c>
      <c r="C145" s="25">
        <v>81</v>
      </c>
      <c r="D145" s="25"/>
      <c r="E145" s="131">
        <f t="shared" si="33"/>
        <v>81</v>
      </c>
      <c r="F145" s="115">
        <v>143.5</v>
      </c>
      <c r="G145" s="115"/>
      <c r="H145" s="131">
        <f t="shared" si="34"/>
        <v>143.5</v>
      </c>
      <c r="I145" s="25">
        <v>46.137569999999997</v>
      </c>
      <c r="J145" s="25">
        <v>0</v>
      </c>
      <c r="K145" s="131">
        <f t="shared" si="35"/>
        <v>46.137569999999997</v>
      </c>
      <c r="L145" s="18">
        <f t="shared" si="32"/>
        <v>0.56959962962962962</v>
      </c>
      <c r="M145" s="25">
        <v>46.137569999999997</v>
      </c>
      <c r="N145" s="25">
        <v>0</v>
      </c>
      <c r="O145" s="131">
        <f t="shared" si="36"/>
        <v>46.137569999999997</v>
      </c>
      <c r="P145" s="132">
        <v>140</v>
      </c>
      <c r="Q145" s="132"/>
      <c r="R145" s="131">
        <f t="shared" si="37"/>
        <v>140</v>
      </c>
      <c r="S145" s="132">
        <v>0</v>
      </c>
      <c r="T145" s="132"/>
      <c r="U145" s="131">
        <f t="shared" si="38"/>
        <v>0</v>
      </c>
      <c r="V145" s="18">
        <f t="shared" si="30"/>
        <v>0</v>
      </c>
    </row>
    <row r="146" spans="1:22" x14ac:dyDescent="0.25">
      <c r="A146" s="80"/>
      <c r="B146" s="82" t="s">
        <v>177</v>
      </c>
      <c r="C146" s="25"/>
      <c r="D146" s="25"/>
      <c r="E146" s="131">
        <f t="shared" si="33"/>
        <v>0</v>
      </c>
      <c r="F146" s="115"/>
      <c r="G146" s="115"/>
      <c r="H146" s="131">
        <f t="shared" si="34"/>
        <v>0</v>
      </c>
      <c r="I146" s="25"/>
      <c r="J146" s="25"/>
      <c r="K146" s="131">
        <f t="shared" si="35"/>
        <v>0</v>
      </c>
      <c r="L146" s="18" t="e">
        <f t="shared" si="32"/>
        <v>#DIV/0!</v>
      </c>
      <c r="M146" s="25"/>
      <c r="N146" s="25"/>
      <c r="O146" s="131">
        <f t="shared" si="36"/>
        <v>0</v>
      </c>
      <c r="P146" s="25"/>
      <c r="Q146" s="25"/>
      <c r="R146" s="131">
        <f t="shared" si="37"/>
        <v>0</v>
      </c>
      <c r="S146" s="132"/>
      <c r="T146" s="132"/>
      <c r="U146" s="131"/>
      <c r="V146" s="18" t="e">
        <f t="shared" si="30"/>
        <v>#DIV/0!</v>
      </c>
    </row>
    <row r="147" spans="1:22" x14ac:dyDescent="0.25">
      <c r="A147" s="80"/>
      <c r="B147" s="83" t="s">
        <v>178</v>
      </c>
      <c r="C147" s="26">
        <f>SUM(C133:C146)</f>
        <v>3156520</v>
      </c>
      <c r="D147" s="26">
        <f t="shared" ref="D147:U147" si="39">SUM(D133:D146)</f>
        <v>1705868</v>
      </c>
      <c r="E147" s="27">
        <f t="shared" si="39"/>
        <v>1450652</v>
      </c>
      <c r="F147" s="26">
        <f t="shared" si="39"/>
        <v>3360107.6049799998</v>
      </c>
      <c r="G147" s="26">
        <f t="shared" si="39"/>
        <v>1804128.5594500001</v>
      </c>
      <c r="H147" s="26">
        <f t="shared" si="39"/>
        <v>1555979.0455299998</v>
      </c>
      <c r="I147" s="26">
        <f t="shared" si="39"/>
        <v>3939979.6174499993</v>
      </c>
      <c r="J147" s="26">
        <f t="shared" si="39"/>
        <v>2296704.6976800002</v>
      </c>
      <c r="K147" s="26">
        <f t="shared" si="39"/>
        <v>1643274.9197699998</v>
      </c>
      <c r="L147" s="18">
        <f t="shared" si="32"/>
        <v>1.1327836860735723</v>
      </c>
      <c r="M147" s="26">
        <f t="shared" si="39"/>
        <v>3747292.3447799999</v>
      </c>
      <c r="N147" s="26">
        <f t="shared" si="39"/>
        <v>2187765.0036299997</v>
      </c>
      <c r="O147" s="26">
        <f t="shared" si="39"/>
        <v>1559527.34115</v>
      </c>
      <c r="P147" s="26">
        <f t="shared" si="39"/>
        <v>4109661.7452000002</v>
      </c>
      <c r="Q147" s="26">
        <f t="shared" si="39"/>
        <v>2473144.59968</v>
      </c>
      <c r="R147" s="26">
        <f t="shared" si="39"/>
        <v>1636517.14552</v>
      </c>
      <c r="S147" s="26">
        <f t="shared" si="39"/>
        <v>115438.2</v>
      </c>
      <c r="T147" s="26">
        <f t="shared" si="39"/>
        <v>49923.8</v>
      </c>
      <c r="U147" s="26">
        <f t="shared" si="39"/>
        <v>65514.399999999994</v>
      </c>
      <c r="V147" s="18">
        <f t="shared" si="30"/>
        <v>4.5162037483834849E-2</v>
      </c>
    </row>
    <row r="148" spans="1:22" x14ac:dyDescent="0.25">
      <c r="A148" s="80"/>
      <c r="B148" s="83" t="s">
        <v>179</v>
      </c>
      <c r="C148" s="133">
        <f t="shared" ref="C148:K148" si="40">C104-C147</f>
        <v>-0.10730000026524067</v>
      </c>
      <c r="D148" s="133">
        <f t="shared" si="40"/>
        <v>-0.33297000010497868</v>
      </c>
      <c r="E148" s="133">
        <f t="shared" si="40"/>
        <v>0.22566999983973801</v>
      </c>
      <c r="F148" s="26">
        <f t="shared" si="40"/>
        <v>0</v>
      </c>
      <c r="G148" s="26">
        <f t="shared" si="40"/>
        <v>0</v>
      </c>
      <c r="H148" s="26">
        <f t="shared" si="40"/>
        <v>0</v>
      </c>
      <c r="I148" s="26">
        <f t="shared" si="40"/>
        <v>0</v>
      </c>
      <c r="J148" s="26">
        <f t="shared" si="40"/>
        <v>0</v>
      </c>
      <c r="K148" s="26">
        <f t="shared" si="40"/>
        <v>0</v>
      </c>
      <c r="L148" s="134"/>
      <c r="M148" s="26">
        <f t="shared" ref="M148:U148" si="41">M104-M147</f>
        <v>0</v>
      </c>
      <c r="N148" s="26">
        <f t="shared" si="41"/>
        <v>0</v>
      </c>
      <c r="O148" s="26">
        <f t="shared" si="41"/>
        <v>0</v>
      </c>
      <c r="P148" s="26">
        <f t="shared" si="41"/>
        <v>0</v>
      </c>
      <c r="Q148" s="26">
        <f t="shared" si="41"/>
        <v>0</v>
      </c>
      <c r="R148" s="26">
        <f t="shared" si="41"/>
        <v>0</v>
      </c>
      <c r="S148" s="26">
        <f t="shared" si="41"/>
        <v>0.39999999999417923</v>
      </c>
      <c r="T148" s="26">
        <f t="shared" si="41"/>
        <v>0.39999999999417923</v>
      </c>
      <c r="U148" s="26">
        <f t="shared" si="41"/>
        <v>0</v>
      </c>
      <c r="V148" s="18"/>
    </row>
    <row r="149" spans="1:22" x14ac:dyDescent="0.25">
      <c r="A149" s="75" t="s">
        <v>180</v>
      </c>
      <c r="B149" s="84" t="s">
        <v>181</v>
      </c>
      <c r="C149" s="133"/>
      <c r="D149" s="135"/>
      <c r="E149" s="136"/>
      <c r="F149" s="137"/>
      <c r="G149" s="137"/>
      <c r="H149" s="137"/>
      <c r="I149" s="137"/>
      <c r="J149" s="137"/>
      <c r="K149" s="137"/>
      <c r="L149" s="134"/>
      <c r="M149" s="25"/>
      <c r="N149" s="137"/>
      <c r="O149" s="137"/>
      <c r="P149" s="138"/>
      <c r="Q149" s="137"/>
      <c r="R149" s="137"/>
      <c r="S149" s="138"/>
      <c r="T149" s="137"/>
      <c r="U149" s="137"/>
      <c r="V149" s="18"/>
    </row>
    <row r="150" spans="1:22" x14ac:dyDescent="0.25">
      <c r="A150" s="14" t="s">
        <v>182</v>
      </c>
      <c r="B150" s="24" t="s">
        <v>183</v>
      </c>
      <c r="C150" s="133" t="s">
        <v>184</v>
      </c>
      <c r="D150" s="136" t="s">
        <v>184</v>
      </c>
      <c r="E150" s="136" t="s">
        <v>184</v>
      </c>
      <c r="F150" s="137" t="s">
        <v>184</v>
      </c>
      <c r="G150" s="137" t="s">
        <v>184</v>
      </c>
      <c r="H150" s="137" t="s">
        <v>184</v>
      </c>
      <c r="I150" s="137" t="s">
        <v>184</v>
      </c>
      <c r="J150" s="137" t="s">
        <v>184</v>
      </c>
      <c r="K150" s="134" t="s">
        <v>184</v>
      </c>
      <c r="L150" s="135" t="s">
        <v>184</v>
      </c>
      <c r="M150" s="151" t="s">
        <v>184</v>
      </c>
      <c r="N150" s="136" t="s">
        <v>184</v>
      </c>
      <c r="O150" s="135" t="s">
        <v>184</v>
      </c>
      <c r="P150" s="135" t="s">
        <v>184</v>
      </c>
      <c r="Q150" s="135" t="s">
        <v>184</v>
      </c>
      <c r="R150" s="135" t="s">
        <v>184</v>
      </c>
      <c r="S150" s="135" t="s">
        <v>184</v>
      </c>
      <c r="T150" s="137" t="s">
        <v>184</v>
      </c>
      <c r="U150" s="137" t="s">
        <v>184</v>
      </c>
      <c r="V150" s="137" t="s">
        <v>184</v>
      </c>
    </row>
    <row r="151" spans="1:22" x14ac:dyDescent="0.25">
      <c r="A151" s="14"/>
      <c r="B151" s="33" t="s">
        <v>185</v>
      </c>
      <c r="C151" s="34">
        <v>68182</v>
      </c>
      <c r="D151" s="34">
        <v>51246</v>
      </c>
      <c r="E151" s="35">
        <f>C151-D151</f>
        <v>16936</v>
      </c>
      <c r="F151" s="34">
        <v>61235.711199999998</v>
      </c>
      <c r="G151" s="34">
        <v>44130.611199999999</v>
      </c>
      <c r="H151" s="35">
        <f>F151-G151</f>
        <v>17105.099999999999</v>
      </c>
      <c r="I151" s="34">
        <v>189404.16</v>
      </c>
      <c r="J151" s="34">
        <v>170799.06</v>
      </c>
      <c r="K151" s="35">
        <f>I151-J151</f>
        <v>18605.100000000006</v>
      </c>
      <c r="L151" s="36">
        <f>K151/E151</f>
        <v>1.0985533774208789</v>
      </c>
      <c r="M151" s="34">
        <v>185986.98</v>
      </c>
      <c r="N151" s="34">
        <v>166970.5</v>
      </c>
      <c r="O151" s="35">
        <f>M151-N151</f>
        <v>19016.48000000001</v>
      </c>
      <c r="P151" s="25">
        <v>68417.955950000003</v>
      </c>
      <c r="Q151" s="34">
        <f>P151-P11</f>
        <v>48840.275950000003</v>
      </c>
      <c r="R151" s="35">
        <f>P151-Q151</f>
        <v>19577.68</v>
      </c>
      <c r="S151" s="34">
        <f>S11</f>
        <v>1305.45</v>
      </c>
      <c r="T151" s="34">
        <v>0</v>
      </c>
      <c r="U151" s="35">
        <f>S151-T151</f>
        <v>1305.45</v>
      </c>
      <c r="V151" s="36">
        <f>U151/E151</f>
        <v>7.7081365139348143E-2</v>
      </c>
    </row>
    <row r="152" spans="1:22" x14ac:dyDescent="0.25">
      <c r="A152" s="14"/>
      <c r="B152" s="85" t="s">
        <v>186</v>
      </c>
      <c r="C152" s="34">
        <v>74008</v>
      </c>
      <c r="D152" s="34">
        <v>51246</v>
      </c>
      <c r="E152" s="35">
        <f>C152-D152</f>
        <v>22762</v>
      </c>
      <c r="F152" s="34">
        <f>F151</f>
        <v>61235.711199999998</v>
      </c>
      <c r="G152" s="34">
        <f>G151</f>
        <v>44130.611199999999</v>
      </c>
      <c r="H152" s="35">
        <f>F152-G152</f>
        <v>17105.099999999999</v>
      </c>
      <c r="I152" s="34">
        <v>189593.42</v>
      </c>
      <c r="J152" s="34">
        <v>170799.06</v>
      </c>
      <c r="K152" s="35">
        <f>I152-J152</f>
        <v>18794.360000000015</v>
      </c>
      <c r="L152" s="36">
        <f>K152/E152</f>
        <v>0.82569018539671446</v>
      </c>
      <c r="M152" s="34">
        <v>185563.35</v>
      </c>
      <c r="N152" s="34">
        <v>166970.49</v>
      </c>
      <c r="O152" s="35">
        <f>M152-N152</f>
        <v>18592.860000000015</v>
      </c>
      <c r="P152" s="25">
        <f>P151</f>
        <v>68417.955950000003</v>
      </c>
      <c r="Q152" s="34">
        <f>Q151</f>
        <v>48840.275950000003</v>
      </c>
      <c r="R152" s="35">
        <f>P152-Q152</f>
        <v>19577.68</v>
      </c>
      <c r="S152" s="34">
        <f>S151</f>
        <v>1305.45</v>
      </c>
      <c r="T152" s="34">
        <v>0</v>
      </c>
      <c r="U152" s="35">
        <f>S152-T152</f>
        <v>1305.45</v>
      </c>
      <c r="V152" s="36">
        <f>U152/E152</f>
        <v>5.7352165890519287E-2</v>
      </c>
    </row>
    <row r="153" spans="1:22" x14ac:dyDescent="0.25">
      <c r="A153" s="14" t="s">
        <v>187</v>
      </c>
      <c r="B153" s="86" t="s">
        <v>188</v>
      </c>
      <c r="C153" s="114">
        <f>C154</f>
        <v>53950</v>
      </c>
      <c r="D153" s="135" t="s">
        <v>184</v>
      </c>
      <c r="E153" s="136" t="s">
        <v>184</v>
      </c>
      <c r="F153" s="137" t="s">
        <v>184</v>
      </c>
      <c r="G153" s="137" t="s">
        <v>184</v>
      </c>
      <c r="H153" s="137" t="s">
        <v>184</v>
      </c>
      <c r="I153" s="137" t="s">
        <v>184</v>
      </c>
      <c r="J153" s="137" t="s">
        <v>184</v>
      </c>
      <c r="K153" s="137" t="s">
        <v>184</v>
      </c>
      <c r="L153" s="134" t="s">
        <v>184</v>
      </c>
      <c r="M153" s="25">
        <f>M154</f>
        <v>43160</v>
      </c>
      <c r="N153" s="137" t="s">
        <v>184</v>
      </c>
      <c r="O153" s="137" t="s">
        <v>184</v>
      </c>
      <c r="P153" s="138">
        <f>P154</f>
        <v>43160</v>
      </c>
      <c r="Q153" s="137" t="s">
        <v>184</v>
      </c>
      <c r="R153" s="137" t="s">
        <v>184</v>
      </c>
      <c r="S153" s="25">
        <f>S154+S155</f>
        <v>0</v>
      </c>
      <c r="T153" s="137" t="s">
        <v>184</v>
      </c>
      <c r="U153" s="137" t="s">
        <v>184</v>
      </c>
      <c r="V153" s="18">
        <f t="shared" ref="V153:V166" si="42">S153/C153</f>
        <v>0</v>
      </c>
    </row>
    <row r="154" spans="1:22" x14ac:dyDescent="0.25">
      <c r="A154" s="14"/>
      <c r="B154" s="86" t="s">
        <v>189</v>
      </c>
      <c r="C154" s="114">
        <v>53950</v>
      </c>
      <c r="D154" s="135" t="s">
        <v>184</v>
      </c>
      <c r="E154" s="136" t="s">
        <v>184</v>
      </c>
      <c r="F154" s="137" t="s">
        <v>184</v>
      </c>
      <c r="G154" s="137" t="s">
        <v>184</v>
      </c>
      <c r="H154" s="137" t="s">
        <v>184</v>
      </c>
      <c r="I154" s="137" t="s">
        <v>184</v>
      </c>
      <c r="J154" s="137" t="s">
        <v>184</v>
      </c>
      <c r="K154" s="137" t="s">
        <v>184</v>
      </c>
      <c r="L154" s="134" t="s">
        <v>184</v>
      </c>
      <c r="M154" s="25">
        <v>43160</v>
      </c>
      <c r="N154" s="137" t="s">
        <v>184</v>
      </c>
      <c r="O154" s="137" t="s">
        <v>184</v>
      </c>
      <c r="P154" s="138">
        <v>43160</v>
      </c>
      <c r="Q154" s="137" t="s">
        <v>184</v>
      </c>
      <c r="R154" s="137" t="s">
        <v>184</v>
      </c>
      <c r="S154" s="25">
        <v>0</v>
      </c>
      <c r="T154" s="137" t="s">
        <v>184</v>
      </c>
      <c r="U154" s="137" t="s">
        <v>184</v>
      </c>
      <c r="V154" s="18">
        <f t="shared" si="42"/>
        <v>0</v>
      </c>
    </row>
    <row r="155" spans="1:22" x14ac:dyDescent="0.25">
      <c r="A155" s="14"/>
      <c r="B155" s="86" t="s">
        <v>190</v>
      </c>
      <c r="C155" s="114"/>
      <c r="D155" s="135" t="s">
        <v>184</v>
      </c>
      <c r="E155" s="136" t="s">
        <v>184</v>
      </c>
      <c r="F155" s="137" t="s">
        <v>184</v>
      </c>
      <c r="G155" s="137" t="s">
        <v>184</v>
      </c>
      <c r="H155" s="137" t="s">
        <v>184</v>
      </c>
      <c r="I155" s="137" t="s">
        <v>184</v>
      </c>
      <c r="J155" s="137" t="s">
        <v>184</v>
      </c>
      <c r="K155" s="137" t="s">
        <v>184</v>
      </c>
      <c r="L155" s="134" t="s">
        <v>184</v>
      </c>
      <c r="M155" s="25"/>
      <c r="N155" s="137" t="s">
        <v>184</v>
      </c>
      <c r="O155" s="137" t="s">
        <v>184</v>
      </c>
      <c r="P155" s="138"/>
      <c r="Q155" s="137" t="s">
        <v>184</v>
      </c>
      <c r="R155" s="137" t="s">
        <v>184</v>
      </c>
      <c r="S155" s="25">
        <f>S115</f>
        <v>0</v>
      </c>
      <c r="T155" s="137" t="s">
        <v>184</v>
      </c>
      <c r="U155" s="137" t="s">
        <v>184</v>
      </c>
      <c r="V155" s="18" t="e">
        <f t="shared" si="42"/>
        <v>#DIV/0!</v>
      </c>
    </row>
    <row r="156" spans="1:22" x14ac:dyDescent="0.25">
      <c r="A156" s="14"/>
      <c r="B156" s="86" t="s">
        <v>191</v>
      </c>
      <c r="C156" s="114"/>
      <c r="D156" s="135" t="s">
        <v>184</v>
      </c>
      <c r="E156" s="136" t="s">
        <v>184</v>
      </c>
      <c r="F156" s="137" t="s">
        <v>184</v>
      </c>
      <c r="G156" s="137" t="s">
        <v>184</v>
      </c>
      <c r="H156" s="137" t="s">
        <v>184</v>
      </c>
      <c r="I156" s="137" t="s">
        <v>184</v>
      </c>
      <c r="J156" s="137" t="s">
        <v>184</v>
      </c>
      <c r="K156" s="137" t="s">
        <v>184</v>
      </c>
      <c r="L156" s="134" t="s">
        <v>184</v>
      </c>
      <c r="M156" s="25"/>
      <c r="N156" s="137" t="s">
        <v>184</v>
      </c>
      <c r="O156" s="137" t="s">
        <v>184</v>
      </c>
      <c r="P156" s="138"/>
      <c r="Q156" s="137" t="s">
        <v>184</v>
      </c>
      <c r="R156" s="137" t="s">
        <v>184</v>
      </c>
      <c r="S156" s="138"/>
      <c r="T156" s="137" t="s">
        <v>184</v>
      </c>
      <c r="U156" s="137" t="s">
        <v>184</v>
      </c>
      <c r="V156" s="18" t="e">
        <f t="shared" si="42"/>
        <v>#DIV/0!</v>
      </c>
    </row>
    <row r="157" spans="1:22" ht="56.25" customHeight="1" x14ac:dyDescent="0.25">
      <c r="A157" s="14" t="s">
        <v>192</v>
      </c>
      <c r="B157" s="87" t="s">
        <v>211</v>
      </c>
      <c r="C157" s="114">
        <v>86.5</v>
      </c>
      <c r="D157" s="135" t="s">
        <v>184</v>
      </c>
      <c r="E157" s="136" t="s">
        <v>184</v>
      </c>
      <c r="F157" s="138">
        <v>100.95</v>
      </c>
      <c r="G157" s="137" t="s">
        <v>184</v>
      </c>
      <c r="H157" s="137" t="s">
        <v>184</v>
      </c>
      <c r="I157" s="138">
        <v>95.95</v>
      </c>
      <c r="J157" s="137" t="s">
        <v>184</v>
      </c>
      <c r="K157" s="137" t="s">
        <v>184</v>
      </c>
      <c r="L157" s="134">
        <f t="shared" ref="L157:L166" si="43">I157/C157</f>
        <v>1.1092485549132949</v>
      </c>
      <c r="M157" s="114">
        <v>80.8</v>
      </c>
      <c r="N157" s="137" t="s">
        <v>184</v>
      </c>
      <c r="O157" s="137" t="s">
        <v>184</v>
      </c>
      <c r="P157" s="139">
        <v>95.95</v>
      </c>
      <c r="Q157" s="137" t="s">
        <v>184</v>
      </c>
      <c r="R157" s="137" t="s">
        <v>184</v>
      </c>
      <c r="S157" s="137" t="s">
        <v>184</v>
      </c>
      <c r="T157" s="137" t="s">
        <v>184</v>
      </c>
      <c r="U157" s="137" t="s">
        <v>184</v>
      </c>
      <c r="V157" s="18" t="e">
        <f t="shared" si="42"/>
        <v>#VALUE!</v>
      </c>
    </row>
    <row r="158" spans="1:22" ht="63.75" x14ac:dyDescent="0.25">
      <c r="A158" s="14"/>
      <c r="B158" s="87" t="s">
        <v>212</v>
      </c>
      <c r="C158" s="114">
        <v>109.65</v>
      </c>
      <c r="D158" s="135" t="s">
        <v>184</v>
      </c>
      <c r="E158" s="136" t="s">
        <v>184</v>
      </c>
      <c r="F158" s="138">
        <v>122.85</v>
      </c>
      <c r="G158" s="137" t="s">
        <v>184</v>
      </c>
      <c r="H158" s="137" t="s">
        <v>184</v>
      </c>
      <c r="I158" s="138">
        <f>114.85+8</f>
        <v>122.85</v>
      </c>
      <c r="J158" s="137" t="s">
        <v>184</v>
      </c>
      <c r="K158" s="137" t="s">
        <v>184</v>
      </c>
      <c r="L158" s="134">
        <f t="shared" si="43"/>
        <v>1.1203830369357044</v>
      </c>
      <c r="M158" s="114">
        <v>114.65</v>
      </c>
      <c r="N158" s="137" t="s">
        <v>184</v>
      </c>
      <c r="O158" s="137" t="s">
        <v>184</v>
      </c>
      <c r="P158" s="139">
        <f>122.85-1.35</f>
        <v>121.5</v>
      </c>
      <c r="Q158" s="137" t="s">
        <v>184</v>
      </c>
      <c r="R158" s="137" t="s">
        <v>184</v>
      </c>
      <c r="S158" s="137" t="s">
        <v>184</v>
      </c>
      <c r="T158" s="137" t="s">
        <v>184</v>
      </c>
      <c r="U158" s="137" t="s">
        <v>184</v>
      </c>
      <c r="V158" s="18" t="e">
        <f t="shared" si="42"/>
        <v>#VALUE!</v>
      </c>
    </row>
    <row r="159" spans="1:22" ht="54" customHeight="1" x14ac:dyDescent="0.25">
      <c r="A159" s="14"/>
      <c r="B159" s="87" t="s">
        <v>213</v>
      </c>
      <c r="C159" s="114">
        <v>2149.92</v>
      </c>
      <c r="D159" s="135" t="s">
        <v>184</v>
      </c>
      <c r="E159" s="136" t="s">
        <v>184</v>
      </c>
      <c r="F159" s="140">
        <f>2233.56+1.25</f>
        <v>2234.81</v>
      </c>
      <c r="G159" s="137" t="s">
        <v>184</v>
      </c>
      <c r="H159" s="137" t="s">
        <v>184</v>
      </c>
      <c r="I159" s="140">
        <f>2232.44</f>
        <v>2232.44</v>
      </c>
      <c r="J159" s="137" t="s">
        <v>184</v>
      </c>
      <c r="K159" s="137" t="s">
        <v>184</v>
      </c>
      <c r="L159" s="134">
        <f t="shared" si="43"/>
        <v>1.0383828235469226</v>
      </c>
      <c r="M159" s="114">
        <v>2072.9299999999998</v>
      </c>
      <c r="N159" s="137" t="s">
        <v>184</v>
      </c>
      <c r="O159" s="137" t="s">
        <v>184</v>
      </c>
      <c r="P159" s="139">
        <v>2232.44</v>
      </c>
      <c r="Q159" s="137" t="s">
        <v>184</v>
      </c>
      <c r="R159" s="137" t="s">
        <v>184</v>
      </c>
      <c r="S159" s="137" t="s">
        <v>184</v>
      </c>
      <c r="T159" s="137" t="s">
        <v>184</v>
      </c>
      <c r="U159" s="137" t="s">
        <v>184</v>
      </c>
      <c r="V159" s="18" t="e">
        <f t="shared" si="42"/>
        <v>#VALUE!</v>
      </c>
    </row>
    <row r="160" spans="1:22" ht="60.75" customHeight="1" x14ac:dyDescent="0.25">
      <c r="A160" s="14"/>
      <c r="B160" s="87" t="s">
        <v>214</v>
      </c>
      <c r="C160" s="114">
        <v>7</v>
      </c>
      <c r="D160" s="135" t="s">
        <v>184</v>
      </c>
      <c r="E160" s="136" t="s">
        <v>184</v>
      </c>
      <c r="F160" s="140">
        <v>10</v>
      </c>
      <c r="G160" s="137" t="s">
        <v>184</v>
      </c>
      <c r="H160" s="137" t="s">
        <v>184</v>
      </c>
      <c r="I160" s="140">
        <v>10</v>
      </c>
      <c r="J160" s="137" t="s">
        <v>184</v>
      </c>
      <c r="K160" s="137" t="s">
        <v>184</v>
      </c>
      <c r="L160" s="134">
        <f t="shared" si="43"/>
        <v>1.4285714285714286</v>
      </c>
      <c r="M160" s="114">
        <v>7</v>
      </c>
      <c r="N160" s="137" t="s">
        <v>184</v>
      </c>
      <c r="O160" s="137" t="s">
        <v>184</v>
      </c>
      <c r="P160" s="139">
        <v>10</v>
      </c>
      <c r="Q160" s="137" t="s">
        <v>184</v>
      </c>
      <c r="R160" s="137" t="s">
        <v>184</v>
      </c>
      <c r="S160" s="137" t="s">
        <v>184</v>
      </c>
      <c r="T160" s="137" t="s">
        <v>184</v>
      </c>
      <c r="U160" s="137" t="s">
        <v>184</v>
      </c>
      <c r="V160" s="18" t="e">
        <f t="shared" si="42"/>
        <v>#VALUE!</v>
      </c>
    </row>
    <row r="161" spans="1:22" s="111" customFormat="1" ht="21" customHeight="1" x14ac:dyDescent="0.25">
      <c r="A161" s="14"/>
      <c r="B161" s="88" t="s">
        <v>210</v>
      </c>
      <c r="C161" s="133">
        <f>C157+C158+C159+C160</f>
        <v>2353.0700000000002</v>
      </c>
      <c r="D161" s="135" t="s">
        <v>184</v>
      </c>
      <c r="E161" s="135" t="s">
        <v>184</v>
      </c>
      <c r="F161" s="135">
        <f>F157+F158+F159+F160</f>
        <v>2468.61</v>
      </c>
      <c r="G161" s="135" t="s">
        <v>184</v>
      </c>
      <c r="H161" s="135" t="s">
        <v>184</v>
      </c>
      <c r="I161" s="142">
        <f>I157+I158+I159+I160</f>
        <v>2461.2400000000002</v>
      </c>
      <c r="J161" s="137" t="s">
        <v>184</v>
      </c>
      <c r="K161" s="137" t="s">
        <v>184</v>
      </c>
      <c r="L161" s="134">
        <f t="shared" si="43"/>
        <v>1.0459697331571096</v>
      </c>
      <c r="M161" s="133">
        <f>M157+M158+M159+M160</f>
        <v>2275.3799999999997</v>
      </c>
      <c r="N161" s="137" t="s">
        <v>184</v>
      </c>
      <c r="O161" s="137" t="s">
        <v>184</v>
      </c>
      <c r="P161" s="135">
        <f>P157+P158+P159+P160</f>
        <v>2459.89</v>
      </c>
      <c r="Q161" s="137" t="s">
        <v>184</v>
      </c>
      <c r="R161" s="137" t="s">
        <v>184</v>
      </c>
      <c r="S161" s="137" t="s">
        <v>184</v>
      </c>
      <c r="T161" s="137" t="s">
        <v>184</v>
      </c>
      <c r="U161" s="137" t="s">
        <v>184</v>
      </c>
      <c r="V161" s="49" t="e">
        <f t="shared" si="42"/>
        <v>#VALUE!</v>
      </c>
    </row>
    <row r="162" spans="1:22" ht="23.25" customHeight="1" x14ac:dyDescent="0.25">
      <c r="A162" s="14" t="s">
        <v>193</v>
      </c>
      <c r="B162" s="88" t="s">
        <v>194</v>
      </c>
      <c r="C162" s="114">
        <f>C163+C165+C166+C164</f>
        <v>57</v>
      </c>
      <c r="D162" s="135" t="s">
        <v>184</v>
      </c>
      <c r="E162" s="136" t="s">
        <v>184</v>
      </c>
      <c r="F162" s="138">
        <f>F163+F165+F166+F164</f>
        <v>57</v>
      </c>
      <c r="G162" s="137" t="s">
        <v>184</v>
      </c>
      <c r="H162" s="137" t="s">
        <v>184</v>
      </c>
      <c r="I162" s="138">
        <f>I163+I165+I166+I164</f>
        <v>57</v>
      </c>
      <c r="J162" s="137" t="s">
        <v>184</v>
      </c>
      <c r="K162" s="137" t="s">
        <v>184</v>
      </c>
      <c r="L162" s="134">
        <f t="shared" si="43"/>
        <v>1</v>
      </c>
      <c r="M162" s="25">
        <f>M163+M165+M166+M164</f>
        <v>57</v>
      </c>
      <c r="N162" s="137" t="s">
        <v>184</v>
      </c>
      <c r="O162" s="137" t="s">
        <v>184</v>
      </c>
      <c r="P162" s="137" t="s">
        <v>184</v>
      </c>
      <c r="Q162" s="137" t="s">
        <v>184</v>
      </c>
      <c r="R162" s="137" t="s">
        <v>184</v>
      </c>
      <c r="S162" s="138">
        <f>I162</f>
        <v>57</v>
      </c>
      <c r="T162" s="137" t="s">
        <v>184</v>
      </c>
      <c r="U162" s="137" t="s">
        <v>184</v>
      </c>
      <c r="V162" s="18">
        <f t="shared" si="42"/>
        <v>1</v>
      </c>
    </row>
    <row r="163" spans="1:22" x14ac:dyDescent="0.25">
      <c r="A163" s="14"/>
      <c r="B163" s="88" t="s">
        <v>195</v>
      </c>
      <c r="C163" s="114">
        <v>7</v>
      </c>
      <c r="D163" s="135" t="s">
        <v>184</v>
      </c>
      <c r="E163" s="136" t="s">
        <v>184</v>
      </c>
      <c r="F163" s="140">
        <v>7</v>
      </c>
      <c r="G163" s="137" t="s">
        <v>184</v>
      </c>
      <c r="H163" s="137" t="s">
        <v>184</v>
      </c>
      <c r="I163" s="141">
        <f>F163</f>
        <v>7</v>
      </c>
      <c r="J163" s="137" t="s">
        <v>184</v>
      </c>
      <c r="K163" s="137" t="s">
        <v>184</v>
      </c>
      <c r="L163" s="134">
        <f t="shared" si="43"/>
        <v>1</v>
      </c>
      <c r="M163" s="25">
        <f>I163</f>
        <v>7</v>
      </c>
      <c r="N163" s="137" t="s">
        <v>184</v>
      </c>
      <c r="O163" s="137" t="s">
        <v>184</v>
      </c>
      <c r="P163" s="137" t="s">
        <v>184</v>
      </c>
      <c r="Q163" s="137" t="s">
        <v>184</v>
      </c>
      <c r="R163" s="137" t="s">
        <v>184</v>
      </c>
      <c r="S163" s="138">
        <f>I163</f>
        <v>7</v>
      </c>
      <c r="T163" s="137" t="s">
        <v>184</v>
      </c>
      <c r="U163" s="137" t="s">
        <v>184</v>
      </c>
      <c r="V163" s="18">
        <f t="shared" si="42"/>
        <v>1</v>
      </c>
    </row>
    <row r="164" spans="1:22" x14ac:dyDescent="0.25">
      <c r="A164" s="14"/>
      <c r="B164" s="88" t="s">
        <v>196</v>
      </c>
      <c r="C164" s="114">
        <v>4</v>
      </c>
      <c r="D164" s="135" t="s">
        <v>184</v>
      </c>
      <c r="E164" s="136" t="s">
        <v>184</v>
      </c>
      <c r="F164" s="140">
        <v>4</v>
      </c>
      <c r="G164" s="137" t="s">
        <v>184</v>
      </c>
      <c r="H164" s="137" t="s">
        <v>184</v>
      </c>
      <c r="I164" s="141">
        <f>F164</f>
        <v>4</v>
      </c>
      <c r="J164" s="137" t="s">
        <v>184</v>
      </c>
      <c r="K164" s="137" t="s">
        <v>184</v>
      </c>
      <c r="L164" s="134">
        <f t="shared" si="43"/>
        <v>1</v>
      </c>
      <c r="M164" s="25">
        <f>I164</f>
        <v>4</v>
      </c>
      <c r="N164" s="137" t="s">
        <v>184</v>
      </c>
      <c r="O164" s="137" t="s">
        <v>184</v>
      </c>
      <c r="P164" s="137" t="s">
        <v>184</v>
      </c>
      <c r="Q164" s="137" t="s">
        <v>184</v>
      </c>
      <c r="R164" s="137" t="s">
        <v>184</v>
      </c>
      <c r="S164" s="138">
        <f>I164</f>
        <v>4</v>
      </c>
      <c r="T164" s="137" t="s">
        <v>184</v>
      </c>
      <c r="U164" s="137" t="s">
        <v>184</v>
      </c>
      <c r="V164" s="18">
        <f t="shared" si="42"/>
        <v>1</v>
      </c>
    </row>
    <row r="165" spans="1:22" x14ac:dyDescent="0.25">
      <c r="A165" s="14"/>
      <c r="B165" s="88" t="s">
        <v>197</v>
      </c>
      <c r="C165" s="114">
        <v>45</v>
      </c>
      <c r="D165" s="135" t="s">
        <v>184</v>
      </c>
      <c r="E165" s="136" t="s">
        <v>184</v>
      </c>
      <c r="F165" s="140">
        <v>45</v>
      </c>
      <c r="G165" s="137" t="s">
        <v>184</v>
      </c>
      <c r="H165" s="137" t="s">
        <v>184</v>
      </c>
      <c r="I165" s="141">
        <f>F165</f>
        <v>45</v>
      </c>
      <c r="J165" s="137" t="s">
        <v>184</v>
      </c>
      <c r="K165" s="137" t="s">
        <v>184</v>
      </c>
      <c r="L165" s="134">
        <f t="shared" si="43"/>
        <v>1</v>
      </c>
      <c r="M165" s="25">
        <f>I165</f>
        <v>45</v>
      </c>
      <c r="N165" s="137" t="s">
        <v>184</v>
      </c>
      <c r="O165" s="137" t="s">
        <v>184</v>
      </c>
      <c r="P165" s="137" t="s">
        <v>184</v>
      </c>
      <c r="Q165" s="137" t="s">
        <v>184</v>
      </c>
      <c r="R165" s="137" t="s">
        <v>184</v>
      </c>
      <c r="S165" s="138">
        <f>I165</f>
        <v>45</v>
      </c>
      <c r="T165" s="137" t="s">
        <v>184</v>
      </c>
      <c r="U165" s="137" t="s">
        <v>184</v>
      </c>
      <c r="V165" s="18">
        <f t="shared" si="42"/>
        <v>1</v>
      </c>
    </row>
    <row r="166" spans="1:22" x14ac:dyDescent="0.25">
      <c r="A166" s="14"/>
      <c r="B166" s="74" t="s">
        <v>198</v>
      </c>
      <c r="C166" s="114">
        <v>1</v>
      </c>
      <c r="D166" s="135" t="s">
        <v>184</v>
      </c>
      <c r="E166" s="136" t="s">
        <v>184</v>
      </c>
      <c r="F166" s="140">
        <v>1</v>
      </c>
      <c r="G166" s="137" t="s">
        <v>184</v>
      </c>
      <c r="H166" s="137" t="s">
        <v>184</v>
      </c>
      <c r="I166" s="141">
        <v>1</v>
      </c>
      <c r="J166" s="137" t="s">
        <v>184</v>
      </c>
      <c r="K166" s="137" t="s">
        <v>184</v>
      </c>
      <c r="L166" s="134">
        <f t="shared" si="43"/>
        <v>1</v>
      </c>
      <c r="M166" s="25">
        <f>I166</f>
        <v>1</v>
      </c>
      <c r="N166" s="137" t="s">
        <v>184</v>
      </c>
      <c r="O166" s="137" t="s">
        <v>184</v>
      </c>
      <c r="P166" s="137" t="s">
        <v>184</v>
      </c>
      <c r="Q166" s="137" t="s">
        <v>184</v>
      </c>
      <c r="R166" s="137" t="s">
        <v>184</v>
      </c>
      <c r="S166" s="138">
        <f>I166</f>
        <v>1</v>
      </c>
      <c r="T166" s="137" t="s">
        <v>184</v>
      </c>
      <c r="U166" s="137" t="s">
        <v>184</v>
      </c>
      <c r="V166" s="18">
        <f t="shared" si="42"/>
        <v>1</v>
      </c>
    </row>
    <row r="167" spans="1:22" ht="25.5" x14ac:dyDescent="0.25">
      <c r="A167" s="14" t="s">
        <v>199</v>
      </c>
      <c r="B167" s="31" t="s">
        <v>200</v>
      </c>
      <c r="C167" s="26">
        <f>C55+C56+C69+C89+C90</f>
        <v>1851870.3434799998</v>
      </c>
      <c r="D167" s="26">
        <f t="shared" ref="D167:T167" si="44">D55+D56+D69+D89+D90</f>
        <v>1194005.5969</v>
      </c>
      <c r="E167" s="38">
        <f t="shared" si="44"/>
        <v>657864.7465799998</v>
      </c>
      <c r="F167" s="26">
        <f t="shared" si="44"/>
        <v>1965551.0116000001</v>
      </c>
      <c r="G167" s="26">
        <f t="shared" si="44"/>
        <v>1284646.9415</v>
      </c>
      <c r="H167" s="38">
        <f t="shared" si="44"/>
        <v>680904.0700999999</v>
      </c>
      <c r="I167" s="26">
        <f t="shared" si="44"/>
        <v>2137227.6817699997</v>
      </c>
      <c r="J167" s="26">
        <f t="shared" si="44"/>
        <v>1380929.05476</v>
      </c>
      <c r="K167" s="38">
        <f t="shared" si="44"/>
        <v>756298.62700999982</v>
      </c>
      <c r="L167" s="49">
        <f>K167/E167</f>
        <v>1.1496263189990374</v>
      </c>
      <c r="M167" s="26">
        <f t="shared" si="44"/>
        <v>2086141.5120299999</v>
      </c>
      <c r="N167" s="26">
        <f t="shared" si="44"/>
        <v>1348024.8712599999</v>
      </c>
      <c r="O167" s="38">
        <f t="shared" si="44"/>
        <v>738116.64076999994</v>
      </c>
      <c r="P167" s="26">
        <f t="shared" si="44"/>
        <v>2021459.83381</v>
      </c>
      <c r="Q167" s="26">
        <f t="shared" si="44"/>
        <v>1269952.42</v>
      </c>
      <c r="R167" s="38">
        <f t="shared" si="44"/>
        <v>751507.41380999994</v>
      </c>
      <c r="S167" s="26">
        <f t="shared" si="44"/>
        <v>26389.5</v>
      </c>
      <c r="T167" s="26">
        <f t="shared" si="44"/>
        <v>13604.2</v>
      </c>
      <c r="U167" s="149">
        <f>U55+U56+U69+U89+U90</f>
        <v>12785.3</v>
      </c>
      <c r="V167" s="49">
        <f>U167/E167</f>
        <v>1.9434541927449582E-2</v>
      </c>
    </row>
    <row r="168" spans="1:22" ht="25.5" x14ac:dyDescent="0.25">
      <c r="A168" s="14" t="s">
        <v>201</v>
      </c>
      <c r="B168" s="31" t="s">
        <v>202</v>
      </c>
      <c r="C168" s="26">
        <f>C59+C76+C93</f>
        <v>179731.18018000002</v>
      </c>
      <c r="D168" s="26">
        <f t="shared" ref="D168:U168" si="45">D59+D76+D93</f>
        <v>567</v>
      </c>
      <c r="E168" s="38">
        <f t="shared" si="45"/>
        <v>179164.18018000002</v>
      </c>
      <c r="F168" s="26">
        <f t="shared" si="45"/>
        <v>200509.64199999999</v>
      </c>
      <c r="G168" s="26">
        <f t="shared" si="45"/>
        <v>566.58000000000004</v>
      </c>
      <c r="H168" s="38">
        <f t="shared" si="45"/>
        <v>199943.06200000001</v>
      </c>
      <c r="I168" s="26">
        <f t="shared" si="45"/>
        <v>222249.05296</v>
      </c>
      <c r="J168" s="26">
        <f t="shared" si="45"/>
        <v>515.60521000000006</v>
      </c>
      <c r="K168" s="38">
        <f t="shared" si="45"/>
        <v>221733.44774999999</v>
      </c>
      <c r="L168" s="49">
        <f>K168/E168</f>
        <v>1.2375992094359045</v>
      </c>
      <c r="M168" s="26">
        <f t="shared" si="45"/>
        <v>198063.91486999998</v>
      </c>
      <c r="N168" s="26">
        <f t="shared" si="45"/>
        <v>479.86693000000002</v>
      </c>
      <c r="O168" s="38">
        <f t="shared" si="45"/>
        <v>197584.04793999999</v>
      </c>
      <c r="P168" s="26">
        <f t="shared" si="45"/>
        <v>165313.55089000001</v>
      </c>
      <c r="Q168" s="26">
        <f t="shared" si="45"/>
        <v>420.53089</v>
      </c>
      <c r="R168" s="38">
        <f t="shared" si="45"/>
        <v>164893.02000000002</v>
      </c>
      <c r="S168" s="26">
        <f t="shared" si="45"/>
        <v>14795.2</v>
      </c>
      <c r="T168" s="26">
        <f t="shared" si="45"/>
        <v>27</v>
      </c>
      <c r="U168" s="149">
        <f t="shared" si="45"/>
        <v>14768.2</v>
      </c>
      <c r="V168" s="49">
        <f>U168/E168</f>
        <v>8.2428306736105975E-2</v>
      </c>
    </row>
    <row r="169" spans="1:22" ht="25.5" x14ac:dyDescent="0.25">
      <c r="A169" s="14" t="s">
        <v>203</v>
      </c>
      <c r="B169" s="31" t="s">
        <v>221</v>
      </c>
      <c r="C169" s="26">
        <f>C63+C97</f>
        <v>166048.42207999999</v>
      </c>
      <c r="D169" s="26">
        <f t="shared" ref="D169:U169" si="46">D63+D97</f>
        <v>157746.00096999999</v>
      </c>
      <c r="E169" s="26">
        <f t="shared" si="46"/>
        <v>8302.4211099999957</v>
      </c>
      <c r="F169" s="26">
        <f t="shared" si="46"/>
        <v>53412.298300000002</v>
      </c>
      <c r="G169" s="26">
        <f t="shared" si="46"/>
        <v>50741.683369999999</v>
      </c>
      <c r="H169" s="26">
        <f t="shared" si="46"/>
        <v>2670.6149300000034</v>
      </c>
      <c r="I169" s="26">
        <f t="shared" si="46"/>
        <v>261516.99528</v>
      </c>
      <c r="J169" s="26">
        <f t="shared" si="46"/>
        <v>243989.70392999999</v>
      </c>
      <c r="K169" s="26">
        <f t="shared" si="46"/>
        <v>17527.291350000014</v>
      </c>
      <c r="L169" s="49">
        <f>K169/E169</f>
        <v>2.1111060397657933</v>
      </c>
      <c r="M169" s="26">
        <f t="shared" si="46"/>
        <v>177283.85339</v>
      </c>
      <c r="N169" s="26">
        <f t="shared" si="46"/>
        <v>159756.56203999999</v>
      </c>
      <c r="O169" s="26">
        <f t="shared" si="46"/>
        <v>17527.291350000014</v>
      </c>
      <c r="P169" s="26">
        <f t="shared" si="46"/>
        <v>755631.62448</v>
      </c>
      <c r="Q169" s="26">
        <f t="shared" si="46"/>
        <v>754215.17038000003</v>
      </c>
      <c r="R169" s="26">
        <f t="shared" si="46"/>
        <v>1416.4540999999736</v>
      </c>
      <c r="S169" s="26">
        <f t="shared" si="46"/>
        <v>0</v>
      </c>
      <c r="T169" s="26">
        <f t="shared" si="46"/>
        <v>0</v>
      </c>
      <c r="U169" s="150">
        <f t="shared" si="46"/>
        <v>0</v>
      </c>
      <c r="V169" s="49">
        <f>U169/E169</f>
        <v>0</v>
      </c>
    </row>
    <row r="170" spans="1:22" s="102" customFormat="1" ht="153.75" customHeight="1" x14ac:dyDescent="0.25">
      <c r="A170" s="89" t="s">
        <v>203</v>
      </c>
      <c r="B170" s="109" t="s">
        <v>205</v>
      </c>
      <c r="C170" s="143">
        <f>D170+E170</f>
        <v>217350</v>
      </c>
      <c r="D170" s="143">
        <v>95729</v>
      </c>
      <c r="E170" s="143">
        <v>121621</v>
      </c>
      <c r="F170" s="143">
        <f>G170+H170</f>
        <v>256224</v>
      </c>
      <c r="G170" s="143">
        <f>105241+250</f>
        <v>105491</v>
      </c>
      <c r="H170" s="143">
        <f>147279+3454</f>
        <v>150733</v>
      </c>
      <c r="I170" s="143">
        <f>J170+K170</f>
        <v>255862.29000000004</v>
      </c>
      <c r="J170" s="157">
        <f>10750.6+10522.9+10383.57+10427.07+9778.78+7451.11+5317.13+6175.56+8906.54+9458.29+18147.3+80</f>
        <v>107398.85000000002</v>
      </c>
      <c r="K170" s="157">
        <f>13746.4+12070.4+14174.2+13756.28+13076.14+11086.5+7803.78+8700.4+11889.38+13007.06+27677.9+1475</f>
        <v>148463.44</v>
      </c>
      <c r="L170" s="90"/>
      <c r="M170" s="143">
        <f>N170+O170</f>
        <v>255862.29000000004</v>
      </c>
      <c r="N170" s="157">
        <f>10750.6+10522.9+10383.57+10427.07+9778.78+7451.11+5317.13+6175.56+8906.54+9458.29+18147.3+80</f>
        <v>107398.85000000002</v>
      </c>
      <c r="O170" s="157">
        <f>13746.4+12070.4+14174.2+13756.28+13076.14+11086.5+7803.78+8700.4+11889.38+13007.06+27677.9+1475</f>
        <v>148463.44</v>
      </c>
      <c r="P170" s="143">
        <f>Q170+R170</f>
        <v>336783</v>
      </c>
      <c r="Q170" s="143">
        <f>540+138121</f>
        <v>138661</v>
      </c>
      <c r="R170" s="143">
        <f>8260+189862</f>
        <v>198122</v>
      </c>
      <c r="S170" s="143">
        <f>T170+U170</f>
        <v>0</v>
      </c>
      <c r="T170" s="143"/>
      <c r="U170" s="143"/>
      <c r="V170" s="90"/>
    </row>
    <row r="171" spans="1:22" s="102" customFormat="1" ht="184.5" customHeight="1" x14ac:dyDescent="0.25">
      <c r="A171" s="89" t="s">
        <v>204</v>
      </c>
      <c r="B171" s="110" t="s">
        <v>206</v>
      </c>
      <c r="C171" s="145">
        <f>D171+E171</f>
        <v>721</v>
      </c>
      <c r="D171" s="145">
        <v>304</v>
      </c>
      <c r="E171" s="143">
        <v>417</v>
      </c>
      <c r="F171" s="143">
        <f>G171+H171</f>
        <v>740</v>
      </c>
      <c r="G171" s="145">
        <v>308</v>
      </c>
      <c r="H171" s="143">
        <v>432</v>
      </c>
      <c r="I171" s="143">
        <f>J171+K171</f>
        <v>701</v>
      </c>
      <c r="J171" s="157">
        <f>281+3</f>
        <v>284</v>
      </c>
      <c r="K171" s="157">
        <f>389+28</f>
        <v>417</v>
      </c>
      <c r="L171" s="91"/>
      <c r="M171" s="143">
        <f>N171+O171</f>
        <v>701</v>
      </c>
      <c r="N171" s="157">
        <f>281+3</f>
        <v>284</v>
      </c>
      <c r="O171" s="157">
        <f>389+28</f>
        <v>417</v>
      </c>
      <c r="P171" s="144">
        <f>Q171+R171</f>
        <v>763</v>
      </c>
      <c r="Q171" s="146">
        <f>4+305</f>
        <v>309</v>
      </c>
      <c r="R171" s="146">
        <f>59+395</f>
        <v>454</v>
      </c>
      <c r="S171" s="145">
        <f>T171+U171</f>
        <v>0</v>
      </c>
      <c r="T171" s="145"/>
      <c r="U171" s="143"/>
      <c r="V171" s="91"/>
    </row>
    <row r="172" spans="1:22" s="102" customFormat="1" x14ac:dyDescent="0.25">
      <c r="B172" s="103"/>
      <c r="C172" s="104"/>
      <c r="D172" s="104"/>
      <c r="E172" s="105"/>
      <c r="F172" s="104"/>
      <c r="G172" s="104"/>
      <c r="H172" s="105"/>
      <c r="I172" s="104"/>
      <c r="J172" s="104"/>
      <c r="K172" s="105"/>
      <c r="L172" s="106"/>
      <c r="M172" s="104"/>
      <c r="N172" s="104"/>
      <c r="O172" s="104"/>
      <c r="P172" s="104"/>
      <c r="Q172" s="104"/>
      <c r="R172" s="104"/>
      <c r="S172" s="104"/>
      <c r="T172" s="104"/>
      <c r="U172" s="105"/>
      <c r="V172" s="106"/>
    </row>
    <row r="173" spans="1:22" s="102" customFormat="1" ht="15.75" x14ac:dyDescent="0.25">
      <c r="B173" s="92" t="s">
        <v>222</v>
      </c>
      <c r="C173" s="155"/>
      <c r="D173" s="93"/>
      <c r="E173" s="94"/>
      <c r="F173" s="95"/>
      <c r="G173" s="95"/>
      <c r="H173" s="95"/>
      <c r="I173" s="96"/>
      <c r="J173" s="96"/>
      <c r="K173" s="96"/>
      <c r="L173" s="97"/>
      <c r="M173" s="152"/>
      <c r="N173" s="98"/>
      <c r="O173" s="98"/>
      <c r="P173" s="98"/>
      <c r="Q173" s="98"/>
      <c r="R173" s="98"/>
      <c r="S173" s="98"/>
      <c r="T173" s="98"/>
      <c r="U173" s="98"/>
      <c r="V173" s="99"/>
    </row>
    <row r="174" spans="1:22" s="102" customFormat="1" ht="15.75" x14ac:dyDescent="0.25">
      <c r="B174" s="92" t="s">
        <v>223</v>
      </c>
      <c r="C174" s="155"/>
      <c r="D174" s="93"/>
      <c r="E174" s="94"/>
      <c r="F174" s="95"/>
      <c r="G174" s="95"/>
      <c r="H174" s="95"/>
      <c r="I174" s="96"/>
      <c r="J174" s="96"/>
      <c r="K174" s="96"/>
      <c r="L174" s="97"/>
      <c r="M174" s="152"/>
      <c r="N174" s="98"/>
      <c r="O174" s="98"/>
      <c r="P174" s="98"/>
      <c r="Q174" s="98"/>
      <c r="R174" s="98"/>
      <c r="S174" s="98"/>
      <c r="T174" s="98"/>
      <c r="U174" s="98"/>
      <c r="V174" s="99"/>
    </row>
    <row r="175" spans="1:22" s="102" customFormat="1" ht="15.75" x14ac:dyDescent="0.25">
      <c r="B175" s="92"/>
      <c r="C175" s="155"/>
      <c r="D175" s="93"/>
      <c r="E175" s="94"/>
      <c r="F175" s="95"/>
      <c r="G175" s="95"/>
      <c r="H175" s="95"/>
      <c r="I175" s="96"/>
      <c r="J175" s="96"/>
      <c r="K175" s="96"/>
      <c r="L175" s="97"/>
      <c r="M175" s="152"/>
      <c r="N175" s="98"/>
      <c r="O175" s="98"/>
      <c r="P175" s="98"/>
      <c r="Q175" s="98"/>
      <c r="R175" s="98"/>
      <c r="S175" s="98"/>
      <c r="T175" s="98"/>
      <c r="U175" s="98"/>
      <c r="V175" s="99"/>
    </row>
    <row r="176" spans="1:22" s="102" customFormat="1" ht="15.75" x14ac:dyDescent="0.25">
      <c r="B176" s="92" t="s">
        <v>228</v>
      </c>
      <c r="C176" s="155"/>
      <c r="D176" s="93"/>
      <c r="E176" s="94"/>
      <c r="F176" s="95"/>
      <c r="G176" s="95"/>
      <c r="H176" s="95"/>
      <c r="I176" s="96"/>
      <c r="J176" s="96"/>
      <c r="K176" s="96"/>
      <c r="L176" s="97"/>
      <c r="M176" s="152"/>
      <c r="N176" s="98"/>
      <c r="O176" s="98"/>
      <c r="P176" s="98"/>
      <c r="Q176" s="98"/>
      <c r="R176" s="98"/>
      <c r="S176" s="98"/>
      <c r="T176" s="98"/>
      <c r="U176" s="98"/>
      <c r="V176" s="99"/>
    </row>
    <row r="177" spans="2:22" s="102" customFormat="1" ht="15.75" x14ac:dyDescent="0.25">
      <c r="B177" s="93"/>
      <c r="C177" s="155"/>
      <c r="D177" s="93"/>
      <c r="E177" s="94"/>
      <c r="F177" s="95"/>
      <c r="G177" s="95"/>
      <c r="H177" s="95"/>
      <c r="I177" s="96"/>
      <c r="J177" s="96"/>
      <c r="K177" s="96"/>
      <c r="L177" s="97"/>
      <c r="M177" s="152"/>
      <c r="N177" s="98"/>
      <c r="O177" s="98"/>
      <c r="P177" s="98"/>
      <c r="Q177" s="98"/>
      <c r="R177" s="98"/>
      <c r="S177" s="98"/>
      <c r="T177" s="98"/>
      <c r="U177" s="98"/>
      <c r="V177" s="99"/>
    </row>
    <row r="178" spans="2:22" s="102" customFormat="1" x14ac:dyDescent="0.25">
      <c r="B178" s="100"/>
      <c r="C178" s="156"/>
      <c r="D178" s="100"/>
      <c r="E178" s="101"/>
      <c r="F178" s="95"/>
      <c r="G178" s="95"/>
      <c r="H178" s="95"/>
      <c r="I178" s="96"/>
      <c r="J178" s="96"/>
      <c r="K178" s="96"/>
      <c r="L178" s="97"/>
      <c r="M178" s="152"/>
      <c r="N178" s="98"/>
      <c r="O178" s="98"/>
      <c r="P178" s="98"/>
      <c r="Q178" s="98"/>
      <c r="R178" s="98"/>
      <c r="S178" s="98"/>
      <c r="T178" s="98"/>
      <c r="U178" s="98"/>
      <c r="V178" s="99"/>
    </row>
    <row r="179" spans="2:22" s="102" customFormat="1" x14ac:dyDescent="0.25">
      <c r="C179" s="153"/>
      <c r="M179" s="153"/>
    </row>
    <row r="180" spans="2:22" s="102" customFormat="1" x14ac:dyDescent="0.25">
      <c r="C180" s="153"/>
      <c r="M180" s="153"/>
    </row>
    <row r="181" spans="2:22" x14ac:dyDescent="0.25">
      <c r="B181" s="102"/>
      <c r="C181" s="153"/>
      <c r="D181" s="102"/>
      <c r="E181" s="102"/>
      <c r="F181" s="102"/>
      <c r="G181" s="102"/>
    </row>
    <row r="182" spans="2:22" x14ac:dyDescent="0.25">
      <c r="B182" s="102"/>
      <c r="C182" s="153"/>
      <c r="D182" s="102"/>
      <c r="E182" s="102"/>
      <c r="F182" s="102"/>
      <c r="G182" s="102"/>
    </row>
    <row r="183" spans="2:22" x14ac:dyDescent="0.25">
      <c r="B183" s="102"/>
      <c r="C183" s="153"/>
      <c r="D183" s="102"/>
      <c r="E183" s="102"/>
      <c r="F183" s="102"/>
      <c r="G183" s="102"/>
    </row>
    <row r="184" spans="2:22" x14ac:dyDescent="0.25">
      <c r="B184" s="102"/>
      <c r="C184" s="153"/>
      <c r="D184" s="102"/>
      <c r="E184" s="102"/>
      <c r="F184" s="102"/>
      <c r="G184" s="102"/>
    </row>
    <row r="185" spans="2:22" x14ac:dyDescent="0.25">
      <c r="B185" s="102"/>
      <c r="C185" s="153"/>
      <c r="D185" s="102"/>
      <c r="E185" s="102"/>
      <c r="F185" s="102"/>
      <c r="G185" s="102"/>
    </row>
    <row r="186" spans="2:22" x14ac:dyDescent="0.25">
      <c r="B186" s="102"/>
      <c r="C186" s="153"/>
      <c r="D186" s="102"/>
      <c r="E186" s="102"/>
      <c r="F186" s="102"/>
      <c r="G186" s="102"/>
    </row>
    <row r="187" spans="2:22" x14ac:dyDescent="0.25">
      <c r="B187" s="102"/>
      <c r="C187" s="153"/>
      <c r="D187" s="102"/>
      <c r="E187" s="102"/>
      <c r="F187" s="102"/>
      <c r="G187" s="102"/>
    </row>
    <row r="188" spans="2:22" x14ac:dyDescent="0.25">
      <c r="B188" s="102"/>
      <c r="C188" s="153"/>
      <c r="D188" s="102"/>
      <c r="E188" s="102"/>
      <c r="F188" s="102"/>
      <c r="G188" s="102"/>
    </row>
    <row r="189" spans="2:22" x14ac:dyDescent="0.25">
      <c r="B189" s="102"/>
      <c r="C189" s="153"/>
      <c r="D189" s="102"/>
      <c r="E189" s="102"/>
      <c r="F189" s="102"/>
      <c r="G189" s="102"/>
    </row>
    <row r="190" spans="2:22" x14ac:dyDescent="0.25">
      <c r="B190" s="102"/>
      <c r="C190" s="153"/>
      <c r="D190" s="102"/>
      <c r="E190" s="102"/>
      <c r="F190" s="102"/>
      <c r="G190" s="102"/>
    </row>
    <row r="191" spans="2:22" x14ac:dyDescent="0.25">
      <c r="B191" s="102"/>
      <c r="C191" s="153"/>
      <c r="D191" s="102"/>
      <c r="E191" s="102"/>
      <c r="F191" s="102"/>
      <c r="G191" s="102"/>
    </row>
    <row r="192" spans="2:22" x14ac:dyDescent="0.25">
      <c r="B192" s="102"/>
      <c r="C192" s="153"/>
      <c r="D192" s="102"/>
      <c r="E192" s="102"/>
      <c r="F192" s="102"/>
      <c r="G192" s="102"/>
    </row>
    <row r="193" spans="2:7" x14ac:dyDescent="0.25">
      <c r="B193" s="102"/>
      <c r="C193" s="153"/>
      <c r="D193" s="102"/>
      <c r="E193" s="102"/>
      <c r="F193" s="102"/>
      <c r="G193" s="102"/>
    </row>
    <row r="194" spans="2:7" x14ac:dyDescent="0.25">
      <c r="B194" s="102"/>
      <c r="C194" s="153"/>
      <c r="D194" s="102"/>
      <c r="E194" s="102"/>
      <c r="F194" s="102"/>
      <c r="G194" s="102"/>
    </row>
    <row r="195" spans="2:7" x14ac:dyDescent="0.25">
      <c r="B195" s="102"/>
      <c r="C195" s="153"/>
      <c r="D195" s="102"/>
      <c r="E195" s="102"/>
      <c r="F195" s="102"/>
      <c r="G195" s="102"/>
    </row>
    <row r="196" spans="2:7" x14ac:dyDescent="0.25">
      <c r="B196" s="102"/>
      <c r="C196" s="153"/>
      <c r="D196" s="102"/>
      <c r="E196" s="102"/>
      <c r="F196" s="102"/>
      <c r="G196" s="102"/>
    </row>
  </sheetData>
  <mergeCells count="25">
    <mergeCell ref="C1:R1"/>
    <mergeCell ref="A2:A5"/>
    <mergeCell ref="B2:B5"/>
    <mergeCell ref="C2:E2"/>
    <mergeCell ref="F2:V2"/>
    <mergeCell ref="C3:E3"/>
    <mergeCell ref="F3:H3"/>
    <mergeCell ref="I3:K3"/>
    <mergeCell ref="V3:V5"/>
    <mergeCell ref="C4:C5"/>
    <mergeCell ref="D4:E4"/>
    <mergeCell ref="P3:R3"/>
    <mergeCell ref="S3:U3"/>
    <mergeCell ref="N4:O4"/>
    <mergeCell ref="P4:P5"/>
    <mergeCell ref="Q4:R4"/>
    <mergeCell ref="S4:S5"/>
    <mergeCell ref="T4:U4"/>
    <mergeCell ref="F4:F5"/>
    <mergeCell ref="G4:H4"/>
    <mergeCell ref="I4:I5"/>
    <mergeCell ref="J4:K4"/>
    <mergeCell ref="M4:M5"/>
    <mergeCell ref="L3:L5"/>
    <mergeCell ref="M3:O3"/>
  </mergeCells>
  <pageMargins left="0.31496062992125984" right="0.11811023622047245" top="0" bottom="0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Сысоева О.С.</dc:creator>
  <cp:lastModifiedBy>Пикина Надежда Анатольевна</cp:lastModifiedBy>
  <cp:lastPrinted>2025-01-20T08:57:51Z</cp:lastPrinted>
  <dcterms:created xsi:type="dcterms:W3CDTF">2020-02-03T08:43:29Z</dcterms:created>
  <dcterms:modified xsi:type="dcterms:W3CDTF">2025-02-10T09:13:23Z</dcterms:modified>
</cp:coreProperties>
</file>