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440" windowHeight="1243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Лист1!$2:$5</definedName>
    <definedName name="_xlnm.Print_Area" localSheetId="0">Лист1!$A$1:$AB$180</definedName>
  </definedNames>
  <calcPr calcId="145621"/>
</workbook>
</file>

<file path=xl/calcChain.xml><?xml version="1.0" encoding="utf-8"?>
<calcChain xmlns="http://schemas.openxmlformats.org/spreadsheetml/2006/main">
  <c r="V141" i="1" l="1"/>
  <c r="W143" i="1"/>
  <c r="W138" i="1"/>
  <c r="W66" i="1"/>
  <c r="V126" i="1"/>
  <c r="V129" i="1"/>
  <c r="V128" i="1"/>
  <c r="V133" i="1"/>
  <c r="V132" i="1"/>
  <c r="V131" i="1"/>
  <c r="V70" i="1"/>
  <c r="V68" i="1" s="1"/>
  <c r="V77" i="1"/>
  <c r="Y134" i="1"/>
  <c r="Y126" i="1"/>
  <c r="Y41" i="1"/>
  <c r="Y140" i="1"/>
  <c r="Y92" i="1"/>
  <c r="Y58" i="1"/>
  <c r="Y142" i="1"/>
  <c r="S79" i="1"/>
  <c r="S78" i="1"/>
  <c r="S77" i="1"/>
  <c r="O79" i="1"/>
  <c r="O78" i="1"/>
  <c r="O77" i="1"/>
  <c r="Z37" i="1" l="1"/>
  <c r="Y37" i="1"/>
  <c r="Z141" i="1"/>
  <c r="Y141" i="1"/>
  <c r="Z144" i="1"/>
  <c r="Y144" i="1"/>
  <c r="Z75" i="1"/>
  <c r="Y75" i="1"/>
  <c r="Y138" i="1"/>
  <c r="Z138" i="1"/>
  <c r="Y139" i="1"/>
  <c r="Z139" i="1"/>
  <c r="Z140" i="1"/>
  <c r="Z142" i="1"/>
  <c r="Y143" i="1"/>
  <c r="Z143" i="1"/>
  <c r="Y145" i="1"/>
  <c r="Z145" i="1"/>
  <c r="Y146" i="1"/>
  <c r="Z146" i="1"/>
  <c r="Y147" i="1"/>
  <c r="Z147" i="1"/>
  <c r="Y148" i="1"/>
  <c r="Z148" i="1"/>
  <c r="Y149" i="1"/>
  <c r="Z149" i="1"/>
  <c r="Z137" i="1"/>
  <c r="Y137" i="1"/>
  <c r="Z47" i="1"/>
  <c r="Y47" i="1"/>
  <c r="Z44" i="1"/>
  <c r="Z46" i="1"/>
  <c r="Z66" i="1"/>
  <c r="Y66" i="1"/>
  <c r="Y46" i="1"/>
  <c r="Y44" i="1"/>
  <c r="Z50" i="1"/>
  <c r="Z49" i="1"/>
  <c r="Z45" i="1"/>
  <c r="Y45" i="1"/>
  <c r="Y70" i="1"/>
  <c r="Z70" i="1"/>
  <c r="Y71" i="1"/>
  <c r="Z71" i="1"/>
  <c r="Y72" i="1"/>
  <c r="Y74" i="1"/>
  <c r="Y77" i="1"/>
  <c r="Y78" i="1"/>
  <c r="Z78" i="1"/>
  <c r="Y79" i="1"/>
  <c r="Z79" i="1"/>
  <c r="Z68" i="1"/>
  <c r="Y68" i="1"/>
  <c r="W68" i="1"/>
  <c r="S75" i="1" l="1"/>
  <c r="S72" i="1"/>
  <c r="S71" i="1"/>
  <c r="S70" i="1"/>
  <c r="S68" i="1"/>
  <c r="O70" i="1"/>
  <c r="U175" i="1" l="1"/>
  <c r="U174" i="1" l="1"/>
  <c r="T174" i="1"/>
  <c r="W64" i="1" l="1"/>
  <c r="V64" i="1"/>
  <c r="V45" i="1" s="1"/>
  <c r="V44" i="1" s="1"/>
  <c r="W44" i="1" s="1"/>
  <c r="W46" i="1"/>
  <c r="W47" i="1"/>
  <c r="W45" i="1"/>
  <c r="V100" i="1"/>
  <c r="V88" i="1"/>
  <c r="V54" i="1"/>
  <c r="S133" i="1"/>
  <c r="S132" i="1"/>
  <c r="S131" i="1"/>
  <c r="T175" i="1" l="1"/>
  <c r="Q175" i="1"/>
  <c r="Q174" i="1"/>
  <c r="P175" i="1"/>
  <c r="P174" i="1"/>
  <c r="P95" i="1" l="1"/>
  <c r="O96" i="1"/>
  <c r="O95" i="1"/>
  <c r="O94" i="1"/>
  <c r="T62" i="1" l="1"/>
  <c r="T61" i="1"/>
  <c r="T60" i="1"/>
  <c r="S62" i="1" l="1"/>
  <c r="S61" i="1"/>
  <c r="S60" i="1"/>
  <c r="P61" i="1"/>
  <c r="P60" i="1"/>
  <c r="O62" i="1"/>
  <c r="O60" i="1"/>
  <c r="O61" i="1"/>
  <c r="S96" i="1" l="1"/>
  <c r="S95" i="1"/>
  <c r="S94" i="1"/>
  <c r="P62" i="1" l="1"/>
  <c r="V26" i="1" l="1"/>
  <c r="Y26" i="1"/>
  <c r="S126" i="1" l="1"/>
  <c r="T58" i="1" l="1"/>
  <c r="P58" i="1"/>
  <c r="T54" i="1"/>
  <c r="P54" i="1"/>
  <c r="T45" i="1"/>
  <c r="Y169" i="1"/>
  <c r="S162" i="1" l="1"/>
  <c r="O162" i="1"/>
  <c r="Y90" i="1"/>
  <c r="Z90" i="1"/>
  <c r="Y91" i="1"/>
  <c r="Z91" i="1"/>
  <c r="Z92" i="1"/>
  <c r="Y94" i="1"/>
  <c r="Z94" i="1"/>
  <c r="Y95" i="1"/>
  <c r="Z95" i="1"/>
  <c r="Y96" i="1"/>
  <c r="Z96" i="1"/>
  <c r="Y100" i="1"/>
  <c r="Z100" i="1"/>
  <c r="Y104" i="1"/>
  <c r="Z104" i="1"/>
  <c r="Z88" i="1"/>
  <c r="Y88" i="1"/>
  <c r="Y84" i="1"/>
  <c r="Z84" i="1"/>
  <c r="Y85" i="1"/>
  <c r="Z85" i="1"/>
  <c r="Y86" i="1"/>
  <c r="Z86" i="1"/>
  <c r="Z83" i="1"/>
  <c r="Y83" i="1"/>
  <c r="Y81" i="1"/>
  <c r="Y80" i="1"/>
  <c r="Y56" i="1"/>
  <c r="Z56" i="1"/>
  <c r="Y57" i="1"/>
  <c r="Z57" i="1"/>
  <c r="Z58" i="1"/>
  <c r="Y60" i="1"/>
  <c r="Z60" i="1"/>
  <c r="Y61" i="1"/>
  <c r="Z61" i="1"/>
  <c r="Y62" i="1"/>
  <c r="Z62" i="1"/>
  <c r="Y63" i="1"/>
  <c r="Z63" i="1"/>
  <c r="Y64" i="1"/>
  <c r="Z64" i="1"/>
  <c r="Y54" i="1"/>
  <c r="S54" i="1"/>
  <c r="S100" i="1"/>
  <c r="S85" i="1"/>
  <c r="S58" i="1"/>
  <c r="O85" i="1"/>
  <c r="O81" i="1" s="1"/>
  <c r="O84" i="1"/>
  <c r="O83" i="1"/>
  <c r="O63" i="1"/>
  <c r="O58" i="1"/>
  <c r="O54" i="1"/>
  <c r="O57" i="1"/>
  <c r="O56" i="1"/>
  <c r="S104" i="1"/>
  <c r="O104" i="1"/>
  <c r="S92" i="1"/>
  <c r="O92" i="1"/>
  <c r="S88" i="1"/>
  <c r="S91" i="1"/>
  <c r="S90" i="1"/>
  <c r="O88" i="1"/>
  <c r="O91" i="1"/>
  <c r="O90" i="1"/>
  <c r="T50" i="1"/>
  <c r="S26" i="1"/>
  <c r="T138" i="1"/>
  <c r="P138" i="1"/>
  <c r="D62" i="1" l="1"/>
  <c r="C62" i="1"/>
  <c r="D61" i="1"/>
  <c r="C61" i="1"/>
  <c r="D60" i="1"/>
  <c r="C60" i="1"/>
  <c r="D96" i="1"/>
  <c r="C96" i="1"/>
  <c r="D95" i="1"/>
  <c r="C95" i="1"/>
  <c r="C94" i="1"/>
  <c r="D79" i="1"/>
  <c r="C79" i="1"/>
  <c r="D78" i="1"/>
  <c r="C78" i="1"/>
  <c r="C77" i="1"/>
  <c r="D75" i="1"/>
  <c r="C72" i="1"/>
  <c r="D71" i="1"/>
  <c r="C71" i="1"/>
  <c r="D70" i="1"/>
  <c r="C70" i="1"/>
  <c r="D68" i="1"/>
  <c r="C68" i="1"/>
  <c r="I114" i="1" l="1"/>
  <c r="F114" i="1"/>
  <c r="I134" i="1"/>
  <c r="I125" i="1"/>
  <c r="H175" i="1"/>
  <c r="G175" i="1"/>
  <c r="H174" i="1"/>
  <c r="G174" i="1"/>
  <c r="I158" i="1" l="1"/>
  <c r="I155" i="1"/>
  <c r="I96" i="1"/>
  <c r="I95" i="1"/>
  <c r="I94" i="1"/>
  <c r="J61" i="1"/>
  <c r="J60" i="1"/>
  <c r="I62" i="1"/>
  <c r="I61" i="1"/>
  <c r="I60" i="1"/>
  <c r="J62" i="1"/>
  <c r="J68" i="1"/>
  <c r="J70" i="1"/>
  <c r="J71" i="1"/>
  <c r="J75" i="1"/>
  <c r="J78" i="1"/>
  <c r="J79" i="1"/>
  <c r="I79" i="1"/>
  <c r="I78" i="1"/>
  <c r="I77" i="1"/>
  <c r="I75" i="1"/>
  <c r="I72" i="1"/>
  <c r="I71" i="1"/>
  <c r="I70" i="1"/>
  <c r="I68" i="1"/>
  <c r="J63" i="1" l="1"/>
  <c r="J58" i="1"/>
  <c r="J57" i="1"/>
  <c r="J56" i="1"/>
  <c r="J54" i="1"/>
  <c r="J92" i="1"/>
  <c r="J50" i="1"/>
  <c r="J48" i="1"/>
  <c r="J47" i="1"/>
  <c r="J46" i="1"/>
  <c r="J44" i="1"/>
  <c r="J66" i="1"/>
  <c r="J107" i="1"/>
  <c r="J147" i="1"/>
  <c r="J146" i="1"/>
  <c r="J144" i="1"/>
  <c r="J143" i="1"/>
  <c r="J141" i="1"/>
  <c r="J140" i="1"/>
  <c r="J139" i="1"/>
  <c r="J138" i="1"/>
  <c r="J137" i="1"/>
  <c r="I132" i="1"/>
  <c r="I133" i="1"/>
  <c r="I131" i="1"/>
  <c r="I50" i="1"/>
  <c r="I49" i="1"/>
  <c r="I48" i="1"/>
  <c r="I47" i="1"/>
  <c r="I46" i="1"/>
  <c r="I44" i="1"/>
  <c r="I37" i="1"/>
  <c r="I34" i="1"/>
  <c r="I33" i="1"/>
  <c r="I32" i="1"/>
  <c r="I31" i="1"/>
  <c r="I28" i="1"/>
  <c r="I26" i="1"/>
  <c r="I20" i="1"/>
  <c r="I19" i="1"/>
  <c r="I18" i="1"/>
  <c r="I16" i="1"/>
  <c r="I13" i="1"/>
  <c r="I10" i="1"/>
  <c r="I128" i="1"/>
  <c r="I129" i="1"/>
  <c r="I85" i="1"/>
  <c r="I84" i="1"/>
  <c r="I83" i="1"/>
  <c r="I63" i="1"/>
  <c r="I58" i="1"/>
  <c r="I57" i="1"/>
  <c r="I56" i="1"/>
  <c r="I54" i="1"/>
  <c r="I104" i="1"/>
  <c r="I92" i="1"/>
  <c r="I91" i="1"/>
  <c r="I90" i="1"/>
  <c r="I88" i="1"/>
  <c r="I121" i="1"/>
  <c r="I66" i="1"/>
  <c r="I107" i="1"/>
  <c r="I148" i="1"/>
  <c r="I147" i="1"/>
  <c r="I146" i="1"/>
  <c r="I144" i="1"/>
  <c r="I143" i="1"/>
  <c r="I141" i="1"/>
  <c r="I140" i="1"/>
  <c r="I139" i="1"/>
  <c r="I138" i="1"/>
  <c r="I137" i="1"/>
  <c r="F148" i="1" l="1"/>
  <c r="G147" i="1"/>
  <c r="F147" i="1"/>
  <c r="G146" i="1"/>
  <c r="F146" i="1"/>
  <c r="G144" i="1"/>
  <c r="F144" i="1"/>
  <c r="G143" i="1"/>
  <c r="F143" i="1"/>
  <c r="G141" i="1"/>
  <c r="F141" i="1"/>
  <c r="G140" i="1"/>
  <c r="F140" i="1"/>
  <c r="G139" i="1"/>
  <c r="F139" i="1"/>
  <c r="F138" i="1"/>
  <c r="G137" i="1"/>
  <c r="F137" i="1"/>
  <c r="F134" i="1"/>
  <c r="F133" i="1"/>
  <c r="F132" i="1"/>
  <c r="F131" i="1"/>
  <c r="F129" i="1"/>
  <c r="F128" i="1"/>
  <c r="F125" i="1"/>
  <c r="F121" i="1"/>
  <c r="G107" i="1"/>
  <c r="F107" i="1"/>
  <c r="F96" i="1"/>
  <c r="F94" i="1"/>
  <c r="F92" i="1"/>
  <c r="F91" i="1"/>
  <c r="F90" i="1"/>
  <c r="F88" i="1"/>
  <c r="F84" i="1"/>
  <c r="F83" i="1"/>
  <c r="F75" i="1"/>
  <c r="F72" i="1"/>
  <c r="F71" i="1"/>
  <c r="G70" i="1"/>
  <c r="F70" i="1"/>
  <c r="G68" i="1"/>
  <c r="F68" i="1"/>
  <c r="G66" i="1"/>
  <c r="F66" i="1"/>
  <c r="G63" i="1"/>
  <c r="F63" i="1"/>
  <c r="G62" i="1"/>
  <c r="F62" i="1"/>
  <c r="G61" i="1"/>
  <c r="F61" i="1"/>
  <c r="G60" i="1"/>
  <c r="F60" i="1"/>
  <c r="G58" i="1"/>
  <c r="F58" i="1"/>
  <c r="G57" i="1"/>
  <c r="F57" i="1"/>
  <c r="G56" i="1"/>
  <c r="F56" i="1"/>
  <c r="G54" i="1"/>
  <c r="F54" i="1"/>
  <c r="J37" i="1"/>
  <c r="G50" i="1"/>
  <c r="F50" i="1"/>
  <c r="G49" i="1"/>
  <c r="J49" i="1"/>
  <c r="F49" i="1"/>
  <c r="G47" i="1"/>
  <c r="F47" i="1"/>
  <c r="F46" i="1"/>
  <c r="F44" i="1"/>
  <c r="F37" i="1"/>
  <c r="F34" i="1"/>
  <c r="F33" i="1"/>
  <c r="F32" i="1"/>
  <c r="F31" i="1"/>
  <c r="F28" i="1"/>
  <c r="F26" i="1"/>
  <c r="F20" i="1"/>
  <c r="F19" i="1"/>
  <c r="F18" i="1"/>
  <c r="F16" i="1"/>
  <c r="F14" i="1"/>
  <c r="I14" i="1"/>
  <c r="I11" i="1"/>
  <c r="J45" i="1" l="1"/>
  <c r="J32" i="1"/>
  <c r="G138" i="1" l="1"/>
  <c r="F85" i="1"/>
  <c r="G64" i="1"/>
  <c r="J64" i="1" s="1"/>
  <c r="F64" i="1"/>
  <c r="I64" i="1"/>
  <c r="I45" i="1"/>
  <c r="Y117" i="1"/>
  <c r="Z54" i="1"/>
  <c r="S119" i="1"/>
  <c r="Y163" i="1" l="1"/>
  <c r="Y164" i="1"/>
  <c r="Y162" i="1"/>
  <c r="Y161" i="1"/>
  <c r="AA175" i="1" l="1"/>
  <c r="Z175" i="1"/>
  <c r="AA174" i="1"/>
  <c r="Z174" i="1"/>
  <c r="X138" i="1" l="1"/>
  <c r="X139" i="1"/>
  <c r="X140" i="1"/>
  <c r="X141" i="1"/>
  <c r="X142" i="1"/>
  <c r="X143" i="1"/>
  <c r="X144" i="1"/>
  <c r="X145" i="1"/>
  <c r="X146" i="1"/>
  <c r="X147" i="1"/>
  <c r="X148" i="1"/>
  <c r="X149" i="1"/>
  <c r="X137" i="1"/>
  <c r="V119" i="1"/>
  <c r="W88" i="1"/>
  <c r="W81" i="1"/>
  <c r="V81" i="1"/>
  <c r="L96" i="1" l="1"/>
  <c r="L95" i="1"/>
  <c r="L94" i="1"/>
  <c r="L62" i="1" l="1"/>
  <c r="M61" i="1"/>
  <c r="L61" i="1"/>
  <c r="M60" i="1"/>
  <c r="L60" i="1"/>
  <c r="W54" i="1" l="1"/>
  <c r="Y50" i="1"/>
  <c r="Y49" i="1"/>
  <c r="Y119" i="1"/>
  <c r="P100" i="1"/>
  <c r="O100" i="1"/>
  <c r="T88" i="1"/>
  <c r="P88" i="1"/>
  <c r="O119" i="1"/>
  <c r="T81" i="1"/>
  <c r="P81" i="1"/>
  <c r="Z81" i="1" s="1"/>
  <c r="T46" i="1"/>
  <c r="T44" i="1"/>
  <c r="U107" i="1"/>
  <c r="Q107" i="1"/>
  <c r="O37" i="1"/>
  <c r="O34" i="1"/>
  <c r="O33" i="1"/>
  <c r="O32" i="1"/>
  <c r="O31" i="1"/>
  <c r="O28" i="1"/>
  <c r="O26" i="1"/>
  <c r="O20" i="1"/>
  <c r="O19" i="1"/>
  <c r="O18" i="1"/>
  <c r="O16" i="1"/>
  <c r="O13" i="1"/>
  <c r="O11" i="1"/>
  <c r="O10" i="1"/>
  <c r="O41" i="1"/>
  <c r="P47" i="1"/>
  <c r="O47" i="1"/>
  <c r="P46" i="1"/>
  <c r="O46" i="1"/>
  <c r="P45" i="1"/>
  <c r="O45" i="1"/>
  <c r="P44" i="1"/>
  <c r="O44" i="1"/>
  <c r="Z42" i="1"/>
  <c r="Z40" i="1" s="1"/>
  <c r="Z43" i="1"/>
  <c r="Z48" i="1"/>
  <c r="Z41" i="1"/>
  <c r="Y42" i="1"/>
  <c r="Y43" i="1"/>
  <c r="S81" i="1" l="1"/>
  <c r="S175" i="1"/>
  <c r="S174" i="1"/>
  <c r="O175" i="1"/>
  <c r="Y175" i="1" s="1"/>
  <c r="O174" i="1"/>
  <c r="Y174" i="1" s="1"/>
  <c r="O164" i="1"/>
  <c r="O161" i="1"/>
  <c r="L175" i="1"/>
  <c r="L174" i="1"/>
  <c r="N175" i="1"/>
  <c r="M175" i="1"/>
  <c r="N174" i="1"/>
  <c r="M174" i="1"/>
  <c r="O156" i="1"/>
  <c r="P156" i="1"/>
  <c r="O114" i="1"/>
  <c r="O117" i="1"/>
  <c r="L162" i="1"/>
  <c r="L156" i="1"/>
  <c r="M155" i="1"/>
  <c r="M156" i="1" s="1"/>
  <c r="L119" i="1"/>
  <c r="C175" i="1" l="1"/>
  <c r="C174" i="1"/>
  <c r="E175" i="1"/>
  <c r="D175" i="1"/>
  <c r="E174" i="1"/>
  <c r="D174" i="1"/>
  <c r="C157" i="1" l="1"/>
  <c r="D91" i="1"/>
  <c r="D90" i="1"/>
  <c r="D85" i="1"/>
  <c r="D81" i="1"/>
  <c r="D58" i="1"/>
  <c r="D54" i="1"/>
  <c r="D49" i="1"/>
  <c r="D48" i="1"/>
  <c r="D46" i="1"/>
  <c r="D45" i="1"/>
  <c r="D44" i="1"/>
  <c r="C104" i="1"/>
  <c r="C92" i="1"/>
  <c r="C88" i="1"/>
  <c r="C91" i="1"/>
  <c r="C90" i="1"/>
  <c r="C100" i="1"/>
  <c r="C85" i="1"/>
  <c r="C84" i="1"/>
  <c r="C81" i="1" s="1"/>
  <c r="C83" i="1"/>
  <c r="C63" i="1"/>
  <c r="C58" i="1"/>
  <c r="C54" i="1"/>
  <c r="C119" i="1"/>
  <c r="C26" i="1"/>
  <c r="C132" i="1"/>
  <c r="C141" i="1"/>
  <c r="D138" i="1"/>
  <c r="D88" i="1" l="1"/>
  <c r="F174" i="1" l="1"/>
  <c r="F175" i="1"/>
  <c r="M138" i="1" l="1"/>
  <c r="M92" i="1" l="1"/>
  <c r="L92" i="1"/>
  <c r="L58" i="1" s="1"/>
  <c r="M58" i="1"/>
  <c r="M85" i="1"/>
  <c r="M83" i="1"/>
  <c r="M100" i="1"/>
  <c r="L100" i="1"/>
  <c r="L81" i="1"/>
  <c r="M81" i="1"/>
  <c r="M66" i="1"/>
  <c r="M64" i="1"/>
  <c r="M63" i="1"/>
  <c r="L63" i="1"/>
  <c r="M57" i="1"/>
  <c r="M54" i="1"/>
  <c r="M56" i="1"/>
  <c r="L88" i="1"/>
  <c r="L54" i="1"/>
  <c r="M88" i="1"/>
  <c r="L56" i="1"/>
  <c r="M45" i="1"/>
  <c r="M46" i="1"/>
  <c r="M47" i="1"/>
  <c r="M44" i="1"/>
  <c r="L28" i="1"/>
  <c r="L26" i="1"/>
  <c r="J148" i="1"/>
  <c r="I100" i="1" l="1"/>
  <c r="J88" i="1"/>
  <c r="I119" i="1"/>
  <c r="I81" i="1" l="1"/>
  <c r="I157" i="1"/>
  <c r="F157" i="1"/>
  <c r="F100" i="1"/>
  <c r="F81" i="1"/>
  <c r="G81" i="1"/>
  <c r="F119" i="1"/>
  <c r="G48" i="1"/>
  <c r="G44" i="1"/>
  <c r="G45" i="1"/>
  <c r="G46" i="1"/>
  <c r="C126" i="1" l="1"/>
  <c r="F126" i="1" l="1"/>
  <c r="E137" i="1" l="1"/>
  <c r="Y124" i="1"/>
  <c r="S124" i="1"/>
  <c r="I126" i="1"/>
  <c r="C124" i="1"/>
  <c r="AA17" i="1" l="1"/>
  <c r="X17" i="1"/>
  <c r="U17" i="1"/>
  <c r="Q17" i="1"/>
  <c r="N16" i="1"/>
  <c r="N17" i="1"/>
  <c r="K17" i="1"/>
  <c r="K18" i="1"/>
  <c r="K19" i="1"/>
  <c r="H17" i="1"/>
  <c r="H18" i="1"/>
  <c r="H19" i="1"/>
  <c r="E17" i="1"/>
  <c r="R17" i="1" l="1"/>
  <c r="AB17" i="1"/>
  <c r="R161" i="1"/>
  <c r="AB161" i="1"/>
  <c r="Z173" i="1" l="1"/>
  <c r="Y173" i="1"/>
  <c r="W173" i="1"/>
  <c r="V173" i="1"/>
  <c r="T173" i="1"/>
  <c r="S173" i="1"/>
  <c r="P173" i="1"/>
  <c r="O173" i="1"/>
  <c r="M173" i="1"/>
  <c r="L173" i="1"/>
  <c r="J173" i="1"/>
  <c r="I173" i="1"/>
  <c r="G173" i="1"/>
  <c r="F173" i="1"/>
  <c r="D173" i="1"/>
  <c r="C173" i="1"/>
  <c r="V165" i="1" l="1"/>
  <c r="S165" i="1"/>
  <c r="I165" i="1"/>
  <c r="F165" i="1"/>
  <c r="C87" i="1" l="1"/>
  <c r="C67" i="1" l="1"/>
  <c r="O87" i="1"/>
  <c r="Y165" i="1" l="1"/>
  <c r="O165" i="1"/>
  <c r="L165" i="1"/>
  <c r="C165" i="1"/>
  <c r="AB165" i="1" l="1"/>
  <c r="R165" i="1"/>
  <c r="AA21" i="1" l="1"/>
  <c r="AA20" i="1"/>
  <c r="X20" i="1"/>
  <c r="X19" i="1"/>
  <c r="U20" i="1"/>
  <c r="Q20" i="1"/>
  <c r="N20" i="1"/>
  <c r="K20" i="1"/>
  <c r="H20" i="1"/>
  <c r="E20" i="1"/>
  <c r="Z172" i="1"/>
  <c r="Y172" i="1"/>
  <c r="W172" i="1"/>
  <c r="V172" i="1"/>
  <c r="T172" i="1"/>
  <c r="S172" i="1"/>
  <c r="P172" i="1"/>
  <c r="O172" i="1"/>
  <c r="M172" i="1"/>
  <c r="L172" i="1"/>
  <c r="J172" i="1"/>
  <c r="I172" i="1"/>
  <c r="G172" i="1"/>
  <c r="F172" i="1"/>
  <c r="D172" i="1"/>
  <c r="C172" i="1"/>
  <c r="Z171" i="1"/>
  <c r="Y171" i="1"/>
  <c r="W171" i="1"/>
  <c r="V171" i="1"/>
  <c r="T171" i="1"/>
  <c r="S171" i="1"/>
  <c r="P171" i="1"/>
  <c r="O171" i="1"/>
  <c r="M171" i="1"/>
  <c r="L171" i="1"/>
  <c r="J171" i="1"/>
  <c r="I171" i="1"/>
  <c r="G171" i="1"/>
  <c r="F171" i="1"/>
  <c r="D171" i="1"/>
  <c r="C171" i="1"/>
  <c r="AB170" i="1"/>
  <c r="R170" i="1"/>
  <c r="AB169" i="1"/>
  <c r="R169" i="1"/>
  <c r="AB168" i="1"/>
  <c r="R168" i="1"/>
  <c r="AB167" i="1"/>
  <c r="R167" i="1"/>
  <c r="Y166" i="1"/>
  <c r="S166" i="1"/>
  <c r="O166" i="1"/>
  <c r="L166" i="1"/>
  <c r="C166" i="1"/>
  <c r="AB164" i="1"/>
  <c r="R164" i="1"/>
  <c r="AB163" i="1"/>
  <c r="R163" i="1"/>
  <c r="AB162" i="1"/>
  <c r="R162" i="1"/>
  <c r="AB160" i="1"/>
  <c r="AB158" i="1"/>
  <c r="AA156" i="1"/>
  <c r="X156" i="1"/>
  <c r="U156" i="1"/>
  <c r="Q156" i="1"/>
  <c r="N156" i="1"/>
  <c r="K156" i="1"/>
  <c r="H156" i="1"/>
  <c r="E156" i="1"/>
  <c r="AA155" i="1"/>
  <c r="X155" i="1"/>
  <c r="U155" i="1"/>
  <c r="Q155" i="1"/>
  <c r="N155" i="1"/>
  <c r="K155" i="1"/>
  <c r="H155" i="1"/>
  <c r="E155" i="1"/>
  <c r="Z151" i="1"/>
  <c r="Y151" i="1"/>
  <c r="W151" i="1"/>
  <c r="V151" i="1"/>
  <c r="T151" i="1"/>
  <c r="S151" i="1"/>
  <c r="P151" i="1"/>
  <c r="O151" i="1"/>
  <c r="M151" i="1"/>
  <c r="L151" i="1"/>
  <c r="J151" i="1"/>
  <c r="I151" i="1"/>
  <c r="G151" i="1"/>
  <c r="F151" i="1"/>
  <c r="D151" i="1"/>
  <c r="C151" i="1"/>
  <c r="AA150" i="1"/>
  <c r="U150" i="1"/>
  <c r="N150" i="1"/>
  <c r="K150" i="1"/>
  <c r="H150" i="1"/>
  <c r="E150" i="1"/>
  <c r="AA149" i="1"/>
  <c r="U149" i="1"/>
  <c r="Q149" i="1"/>
  <c r="N149" i="1"/>
  <c r="K149" i="1"/>
  <c r="H149" i="1"/>
  <c r="E149" i="1"/>
  <c r="AA148" i="1"/>
  <c r="U148" i="1"/>
  <c r="Q148" i="1"/>
  <c r="N148" i="1"/>
  <c r="K148" i="1"/>
  <c r="H148" i="1"/>
  <c r="E148" i="1"/>
  <c r="AA147" i="1"/>
  <c r="U147" i="1"/>
  <c r="Q147" i="1"/>
  <c r="N147" i="1"/>
  <c r="K147" i="1"/>
  <c r="H147" i="1"/>
  <c r="E147" i="1"/>
  <c r="AA146" i="1"/>
  <c r="U146" i="1"/>
  <c r="Q146" i="1"/>
  <c r="N146" i="1"/>
  <c r="K146" i="1"/>
  <c r="H146" i="1"/>
  <c r="E146" i="1"/>
  <c r="AA145" i="1"/>
  <c r="U145" i="1"/>
  <c r="Q145" i="1"/>
  <c r="N145" i="1"/>
  <c r="K145" i="1"/>
  <c r="H145" i="1"/>
  <c r="E145" i="1"/>
  <c r="AA144" i="1"/>
  <c r="U144" i="1"/>
  <c r="Q144" i="1"/>
  <c r="N144" i="1"/>
  <c r="K144" i="1"/>
  <c r="H144" i="1"/>
  <c r="E144" i="1"/>
  <c r="AA143" i="1"/>
  <c r="U143" i="1"/>
  <c r="Q143" i="1"/>
  <c r="N143" i="1"/>
  <c r="K143" i="1"/>
  <c r="H143" i="1"/>
  <c r="E143" i="1"/>
  <c r="AA142" i="1"/>
  <c r="U142" i="1"/>
  <c r="Q142" i="1"/>
  <c r="N142" i="1"/>
  <c r="K142" i="1"/>
  <c r="H142" i="1"/>
  <c r="E142" i="1"/>
  <c r="AA141" i="1"/>
  <c r="U141" i="1"/>
  <c r="Q141" i="1"/>
  <c r="N141" i="1"/>
  <c r="K141" i="1"/>
  <c r="H141" i="1"/>
  <c r="E141" i="1"/>
  <c r="AA140" i="1"/>
  <c r="U140" i="1"/>
  <c r="Q140" i="1"/>
  <c r="N140" i="1"/>
  <c r="K140" i="1"/>
  <c r="H140" i="1"/>
  <c r="E140" i="1"/>
  <c r="AA139" i="1"/>
  <c r="U139" i="1"/>
  <c r="Q139" i="1"/>
  <c r="N139" i="1"/>
  <c r="K139" i="1"/>
  <c r="H139" i="1"/>
  <c r="E139" i="1"/>
  <c r="AA138" i="1"/>
  <c r="U138" i="1"/>
  <c r="Q138" i="1"/>
  <c r="N138" i="1"/>
  <c r="K138" i="1"/>
  <c r="H138" i="1"/>
  <c r="E138" i="1"/>
  <c r="AA137" i="1"/>
  <c r="U137" i="1"/>
  <c r="Q137" i="1"/>
  <c r="N137" i="1"/>
  <c r="K137" i="1"/>
  <c r="H137" i="1"/>
  <c r="Z136" i="1"/>
  <c r="Y136" i="1"/>
  <c r="W136" i="1"/>
  <c r="V136" i="1"/>
  <c r="T136" i="1"/>
  <c r="S136" i="1"/>
  <c r="P136" i="1"/>
  <c r="O136" i="1"/>
  <c r="M136" i="1"/>
  <c r="L136" i="1"/>
  <c r="J136" i="1"/>
  <c r="I136" i="1"/>
  <c r="G136" i="1"/>
  <c r="F136" i="1"/>
  <c r="D136" i="1"/>
  <c r="C136" i="1"/>
  <c r="AB135" i="1"/>
  <c r="I124" i="1"/>
  <c r="F124" i="1"/>
  <c r="Y116" i="1"/>
  <c r="Y159" i="1" s="1"/>
  <c r="AB159" i="1" s="1"/>
  <c r="V116" i="1"/>
  <c r="S116" i="1"/>
  <c r="O116" i="1"/>
  <c r="L116" i="1"/>
  <c r="I116" i="1"/>
  <c r="F116" i="1"/>
  <c r="C116" i="1"/>
  <c r="Y111" i="1"/>
  <c r="Y158" i="1" s="1"/>
  <c r="V111" i="1"/>
  <c r="S111" i="1"/>
  <c r="O111" i="1"/>
  <c r="L111" i="1"/>
  <c r="I111" i="1"/>
  <c r="F111" i="1"/>
  <c r="C111" i="1"/>
  <c r="AA104" i="1"/>
  <c r="X104" i="1"/>
  <c r="U104" i="1"/>
  <c r="Q104" i="1"/>
  <c r="N104" i="1"/>
  <c r="K104" i="1"/>
  <c r="H104" i="1"/>
  <c r="E104" i="1"/>
  <c r="AA103" i="1"/>
  <c r="X103" i="1"/>
  <c r="U103" i="1"/>
  <c r="Q103" i="1"/>
  <c r="N103" i="1"/>
  <c r="K103" i="1"/>
  <c r="H103" i="1"/>
  <c r="E103" i="1"/>
  <c r="AA102" i="1"/>
  <c r="X102" i="1"/>
  <c r="U102" i="1"/>
  <c r="Q102" i="1"/>
  <c r="N102" i="1"/>
  <c r="K102" i="1"/>
  <c r="H102" i="1"/>
  <c r="E102" i="1"/>
  <c r="AA100" i="1"/>
  <c r="X100" i="1"/>
  <c r="U100" i="1"/>
  <c r="Q100" i="1"/>
  <c r="N100" i="1"/>
  <c r="K100" i="1"/>
  <c r="H100" i="1"/>
  <c r="E100" i="1"/>
  <c r="AA99" i="1"/>
  <c r="X99" i="1"/>
  <c r="U99" i="1"/>
  <c r="Q99" i="1"/>
  <c r="N99" i="1"/>
  <c r="K99" i="1"/>
  <c r="H99" i="1"/>
  <c r="E99" i="1"/>
  <c r="AA98" i="1"/>
  <c r="X98" i="1"/>
  <c r="U98" i="1"/>
  <c r="Q98" i="1"/>
  <c r="N98" i="1"/>
  <c r="K98" i="1"/>
  <c r="H98" i="1"/>
  <c r="E98" i="1"/>
  <c r="AA97" i="1"/>
  <c r="X97" i="1"/>
  <c r="U97" i="1"/>
  <c r="Q97" i="1"/>
  <c r="N97" i="1"/>
  <c r="K97" i="1"/>
  <c r="H97" i="1"/>
  <c r="E97" i="1"/>
  <c r="AA96" i="1"/>
  <c r="X96" i="1"/>
  <c r="U96" i="1"/>
  <c r="Q96" i="1"/>
  <c r="N96" i="1"/>
  <c r="K96" i="1"/>
  <c r="H96" i="1"/>
  <c r="E96" i="1"/>
  <c r="AA95" i="1"/>
  <c r="X95" i="1"/>
  <c r="U95" i="1"/>
  <c r="Q95" i="1"/>
  <c r="N95" i="1"/>
  <c r="K95" i="1"/>
  <c r="H95" i="1"/>
  <c r="E95" i="1"/>
  <c r="AA94" i="1"/>
  <c r="X94" i="1"/>
  <c r="U94" i="1"/>
  <c r="Q94" i="1"/>
  <c r="N94" i="1"/>
  <c r="K94" i="1"/>
  <c r="H94" i="1"/>
  <c r="E94" i="1"/>
  <c r="AA92" i="1"/>
  <c r="X92" i="1"/>
  <c r="U92" i="1"/>
  <c r="Q92" i="1"/>
  <c r="N92" i="1"/>
  <c r="K92" i="1"/>
  <c r="H92" i="1"/>
  <c r="E92" i="1"/>
  <c r="AA91" i="1"/>
  <c r="X91" i="1"/>
  <c r="U91" i="1"/>
  <c r="Q91" i="1"/>
  <c r="N91" i="1"/>
  <c r="K91" i="1"/>
  <c r="H91" i="1"/>
  <c r="E91" i="1"/>
  <c r="AA90" i="1"/>
  <c r="X90" i="1"/>
  <c r="U90" i="1"/>
  <c r="Q90" i="1"/>
  <c r="N90" i="1"/>
  <c r="K90" i="1"/>
  <c r="H90" i="1"/>
  <c r="E90" i="1"/>
  <c r="AA88" i="1"/>
  <c r="X88" i="1"/>
  <c r="U88" i="1"/>
  <c r="Q88" i="1"/>
  <c r="N88" i="1"/>
  <c r="K88" i="1"/>
  <c r="H88" i="1"/>
  <c r="E88" i="1"/>
  <c r="Z87" i="1"/>
  <c r="Y87" i="1"/>
  <c r="W87" i="1"/>
  <c r="V87" i="1"/>
  <c r="T87" i="1"/>
  <c r="S87" i="1"/>
  <c r="P87" i="1"/>
  <c r="M87" i="1"/>
  <c r="L87" i="1"/>
  <c r="J87" i="1"/>
  <c r="I87" i="1"/>
  <c r="G87" i="1"/>
  <c r="F87" i="1"/>
  <c r="D87" i="1"/>
  <c r="AA86" i="1"/>
  <c r="X86" i="1"/>
  <c r="U86" i="1"/>
  <c r="Q86" i="1"/>
  <c r="N86" i="1"/>
  <c r="K86" i="1"/>
  <c r="H86" i="1"/>
  <c r="E86" i="1"/>
  <c r="AA85" i="1"/>
  <c r="X85" i="1"/>
  <c r="U85" i="1"/>
  <c r="Q85" i="1"/>
  <c r="N85" i="1"/>
  <c r="K85" i="1"/>
  <c r="H85" i="1"/>
  <c r="E85" i="1"/>
  <c r="AA84" i="1"/>
  <c r="X84" i="1"/>
  <c r="U84" i="1"/>
  <c r="Q84" i="1"/>
  <c r="N84" i="1"/>
  <c r="K84" i="1"/>
  <c r="H84" i="1"/>
  <c r="E84" i="1"/>
  <c r="AA83" i="1"/>
  <c r="X83" i="1"/>
  <c r="U83" i="1"/>
  <c r="Q83" i="1"/>
  <c r="N83" i="1"/>
  <c r="K83" i="1"/>
  <c r="H83" i="1"/>
  <c r="E83" i="1"/>
  <c r="AA81" i="1"/>
  <c r="X81" i="1"/>
  <c r="U81" i="1"/>
  <c r="Q81" i="1"/>
  <c r="N81" i="1"/>
  <c r="K81" i="1"/>
  <c r="H81" i="1"/>
  <c r="E81" i="1"/>
  <c r="AA80" i="1"/>
  <c r="X80" i="1"/>
  <c r="U80" i="1"/>
  <c r="Q80" i="1"/>
  <c r="N80" i="1"/>
  <c r="K80" i="1"/>
  <c r="H80" i="1"/>
  <c r="E80" i="1"/>
  <c r="AA79" i="1"/>
  <c r="X79" i="1"/>
  <c r="U79" i="1"/>
  <c r="Q79" i="1"/>
  <c r="N79" i="1"/>
  <c r="K79" i="1"/>
  <c r="H79" i="1"/>
  <c r="E79" i="1"/>
  <c r="AA78" i="1"/>
  <c r="X78" i="1"/>
  <c r="U78" i="1"/>
  <c r="Q78" i="1"/>
  <c r="N78" i="1"/>
  <c r="K78" i="1"/>
  <c r="H78" i="1"/>
  <c r="E78" i="1"/>
  <c r="AA77" i="1"/>
  <c r="X77" i="1"/>
  <c r="U77" i="1"/>
  <c r="Q77" i="1"/>
  <c r="N77" i="1"/>
  <c r="K77" i="1"/>
  <c r="H77" i="1"/>
  <c r="E77" i="1"/>
  <c r="AA75" i="1"/>
  <c r="X75" i="1"/>
  <c r="U75" i="1"/>
  <c r="Q75" i="1"/>
  <c r="N75" i="1"/>
  <c r="K75" i="1"/>
  <c r="H75" i="1"/>
  <c r="E75" i="1"/>
  <c r="AA74" i="1"/>
  <c r="X74" i="1"/>
  <c r="U74" i="1"/>
  <c r="Q74" i="1"/>
  <c r="N74" i="1"/>
  <c r="K74" i="1"/>
  <c r="H74" i="1"/>
  <c r="E74" i="1"/>
  <c r="AA73" i="1"/>
  <c r="X73" i="1"/>
  <c r="U73" i="1"/>
  <c r="Q73" i="1"/>
  <c r="N73" i="1"/>
  <c r="K73" i="1"/>
  <c r="H73" i="1"/>
  <c r="E73" i="1"/>
  <c r="AA72" i="1"/>
  <c r="X72" i="1"/>
  <c r="U72" i="1"/>
  <c r="Q72" i="1"/>
  <c r="N72" i="1"/>
  <c r="K72" i="1"/>
  <c r="H72" i="1"/>
  <c r="E72" i="1"/>
  <c r="AA71" i="1"/>
  <c r="X71" i="1"/>
  <c r="U71" i="1"/>
  <c r="Q71" i="1"/>
  <c r="N71" i="1"/>
  <c r="K71" i="1"/>
  <c r="H71" i="1"/>
  <c r="E71" i="1"/>
  <c r="AA70" i="1"/>
  <c r="X70" i="1"/>
  <c r="U70" i="1"/>
  <c r="Q70" i="1"/>
  <c r="N70" i="1"/>
  <c r="K70" i="1"/>
  <c r="H70" i="1"/>
  <c r="E70" i="1"/>
  <c r="AA68" i="1"/>
  <c r="X68" i="1"/>
  <c r="U68" i="1"/>
  <c r="Q68" i="1"/>
  <c r="N68" i="1"/>
  <c r="K68" i="1"/>
  <c r="H68" i="1"/>
  <c r="E68" i="1"/>
  <c r="Z67" i="1"/>
  <c r="Y67" i="1"/>
  <c r="W67" i="1"/>
  <c r="V67" i="1"/>
  <c r="T67" i="1"/>
  <c r="S67" i="1"/>
  <c r="P67" i="1"/>
  <c r="O67" i="1"/>
  <c r="M67" i="1"/>
  <c r="L67" i="1"/>
  <c r="J67" i="1"/>
  <c r="I67" i="1"/>
  <c r="G67" i="1"/>
  <c r="F67" i="1"/>
  <c r="D67" i="1"/>
  <c r="AA66" i="1"/>
  <c r="X66" i="1"/>
  <c r="U66" i="1"/>
  <c r="Q66" i="1"/>
  <c r="N66" i="1"/>
  <c r="K66" i="1"/>
  <c r="H66" i="1"/>
  <c r="E66" i="1"/>
  <c r="AA65" i="1"/>
  <c r="X65" i="1"/>
  <c r="U65" i="1"/>
  <c r="Q65" i="1"/>
  <c r="N65" i="1"/>
  <c r="K65" i="1"/>
  <c r="H65" i="1"/>
  <c r="E65" i="1"/>
  <c r="AA64" i="1"/>
  <c r="X64" i="1"/>
  <c r="X173" i="1" s="1"/>
  <c r="U64" i="1"/>
  <c r="Q64" i="1"/>
  <c r="Q173" i="1" s="1"/>
  <c r="N64" i="1"/>
  <c r="K64" i="1"/>
  <c r="K173" i="1" s="1"/>
  <c r="H64" i="1"/>
  <c r="H173" i="1" s="1"/>
  <c r="E64" i="1"/>
  <c r="E173" i="1" s="1"/>
  <c r="AA63" i="1"/>
  <c r="X63" i="1"/>
  <c r="U63" i="1"/>
  <c r="Q63" i="1"/>
  <c r="N63" i="1"/>
  <c r="K63" i="1"/>
  <c r="H63" i="1"/>
  <c r="E63" i="1"/>
  <c r="AA62" i="1"/>
  <c r="X62" i="1"/>
  <c r="U62" i="1"/>
  <c r="Q62" i="1"/>
  <c r="N62" i="1"/>
  <c r="K62" i="1"/>
  <c r="H62" i="1"/>
  <c r="E62" i="1"/>
  <c r="AA61" i="1"/>
  <c r="X61" i="1"/>
  <c r="U61" i="1"/>
  <c r="Q61" i="1"/>
  <c r="N61" i="1"/>
  <c r="K61" i="1"/>
  <c r="H61" i="1"/>
  <c r="E61" i="1"/>
  <c r="AA60" i="1"/>
  <c r="X60" i="1"/>
  <c r="U60" i="1"/>
  <c r="Q60" i="1"/>
  <c r="N60" i="1"/>
  <c r="K60" i="1"/>
  <c r="H60" i="1"/>
  <c r="E60" i="1"/>
  <c r="AA58" i="1"/>
  <c r="X58" i="1"/>
  <c r="U58" i="1"/>
  <c r="Q58" i="1"/>
  <c r="N58" i="1"/>
  <c r="K58" i="1"/>
  <c r="H58" i="1"/>
  <c r="E58" i="1"/>
  <c r="AA57" i="1"/>
  <c r="X57" i="1"/>
  <c r="U57" i="1"/>
  <c r="Q57" i="1"/>
  <c r="N57" i="1"/>
  <c r="K57" i="1"/>
  <c r="H57" i="1"/>
  <c r="E57" i="1"/>
  <c r="AA56" i="1"/>
  <c r="X56" i="1"/>
  <c r="U56" i="1"/>
  <c r="Q56" i="1"/>
  <c r="N56" i="1"/>
  <c r="K56" i="1"/>
  <c r="H56" i="1"/>
  <c r="E56" i="1"/>
  <c r="AA54" i="1"/>
  <c r="X54" i="1"/>
  <c r="U54" i="1"/>
  <c r="Q54" i="1"/>
  <c r="N54" i="1"/>
  <c r="K54" i="1"/>
  <c r="H54" i="1"/>
  <c r="E54" i="1"/>
  <c r="Z53" i="1"/>
  <c r="Y53" i="1"/>
  <c r="W53" i="1"/>
  <c r="V53" i="1"/>
  <c r="T53" i="1"/>
  <c r="S53" i="1"/>
  <c r="P53" i="1"/>
  <c r="O53" i="1"/>
  <c r="O52" i="1" s="1"/>
  <c r="O105" i="1" s="1"/>
  <c r="M53" i="1"/>
  <c r="L53" i="1"/>
  <c r="J53" i="1"/>
  <c r="I53" i="1"/>
  <c r="G53" i="1"/>
  <c r="F53" i="1"/>
  <c r="D53" i="1"/>
  <c r="C53" i="1"/>
  <c r="C52" i="1" s="1"/>
  <c r="C105" i="1" s="1"/>
  <c r="AA50" i="1"/>
  <c r="X50" i="1"/>
  <c r="U50" i="1"/>
  <c r="Q50" i="1"/>
  <c r="N50" i="1"/>
  <c r="K50" i="1"/>
  <c r="H50" i="1"/>
  <c r="E50" i="1"/>
  <c r="AA49" i="1"/>
  <c r="X49" i="1"/>
  <c r="U49" i="1"/>
  <c r="Q49" i="1"/>
  <c r="N49" i="1"/>
  <c r="K49" i="1"/>
  <c r="H49" i="1"/>
  <c r="E49" i="1"/>
  <c r="AA48" i="1"/>
  <c r="X48" i="1"/>
  <c r="U48" i="1"/>
  <c r="Q48" i="1"/>
  <c r="N48" i="1"/>
  <c r="K48" i="1"/>
  <c r="H48" i="1"/>
  <c r="E48" i="1"/>
  <c r="AA47" i="1"/>
  <c r="X47" i="1"/>
  <c r="U47" i="1"/>
  <c r="Q47" i="1"/>
  <c r="N47" i="1"/>
  <c r="K47" i="1"/>
  <c r="H47" i="1"/>
  <c r="E47" i="1"/>
  <c r="AA46" i="1"/>
  <c r="X46" i="1"/>
  <c r="U46" i="1"/>
  <c r="Q46" i="1"/>
  <c r="N46" i="1"/>
  <c r="K46" i="1"/>
  <c r="H46" i="1"/>
  <c r="E46" i="1"/>
  <c r="AA45" i="1"/>
  <c r="X45" i="1"/>
  <c r="U45" i="1"/>
  <c r="Q45" i="1"/>
  <c r="N45" i="1"/>
  <c r="K45" i="1"/>
  <c r="H45" i="1"/>
  <c r="E45" i="1"/>
  <c r="AA44" i="1"/>
  <c r="X44" i="1"/>
  <c r="U44" i="1"/>
  <c r="Q44" i="1"/>
  <c r="N44" i="1"/>
  <c r="K44" i="1"/>
  <c r="H44" i="1"/>
  <c r="E44" i="1"/>
  <c r="AA43" i="1"/>
  <c r="X43" i="1"/>
  <c r="U43" i="1"/>
  <c r="Q43" i="1"/>
  <c r="N43" i="1"/>
  <c r="K43" i="1"/>
  <c r="H43" i="1"/>
  <c r="E43" i="1"/>
  <c r="AA42" i="1"/>
  <c r="X42" i="1"/>
  <c r="U42" i="1"/>
  <c r="Q42" i="1"/>
  <c r="N42" i="1"/>
  <c r="K42" i="1"/>
  <c r="H42" i="1"/>
  <c r="E42" i="1"/>
  <c r="AA41" i="1"/>
  <c r="X41" i="1"/>
  <c r="U41" i="1"/>
  <c r="Q41" i="1"/>
  <c r="N41" i="1"/>
  <c r="K41" i="1"/>
  <c r="H41" i="1"/>
  <c r="E41" i="1"/>
  <c r="Y40" i="1"/>
  <c r="AA40" i="1" s="1"/>
  <c r="V40" i="1"/>
  <c r="X40" i="1" s="1"/>
  <c r="S40" i="1"/>
  <c r="U40" i="1" s="1"/>
  <c r="O40" i="1"/>
  <c r="Q40" i="1" s="1"/>
  <c r="L40" i="1"/>
  <c r="N40" i="1" s="1"/>
  <c r="I40" i="1"/>
  <c r="K40" i="1" s="1"/>
  <c r="F40" i="1"/>
  <c r="H40" i="1" s="1"/>
  <c r="C40" i="1"/>
  <c r="E40" i="1" s="1"/>
  <c r="Z39" i="1"/>
  <c r="Z38" i="1" s="1"/>
  <c r="W39" i="1"/>
  <c r="W38" i="1" s="1"/>
  <c r="T39" i="1"/>
  <c r="T38" i="1" s="1"/>
  <c r="P39" i="1"/>
  <c r="P38" i="1" s="1"/>
  <c r="M39" i="1"/>
  <c r="M38" i="1" s="1"/>
  <c r="J39" i="1"/>
  <c r="J38" i="1" s="1"/>
  <c r="G39" i="1"/>
  <c r="G38" i="1" s="1"/>
  <c r="D39" i="1"/>
  <c r="D38" i="1" s="1"/>
  <c r="AA37" i="1"/>
  <c r="X37" i="1"/>
  <c r="U37" i="1"/>
  <c r="Q37" i="1"/>
  <c r="N37" i="1"/>
  <c r="K37" i="1"/>
  <c r="H37" i="1"/>
  <c r="E37" i="1"/>
  <c r="AA36" i="1"/>
  <c r="X36" i="1"/>
  <c r="U36" i="1"/>
  <c r="Q36" i="1"/>
  <c r="N36" i="1"/>
  <c r="K36" i="1"/>
  <c r="H36" i="1"/>
  <c r="E36" i="1"/>
  <c r="AA34" i="1"/>
  <c r="X34" i="1"/>
  <c r="U34" i="1"/>
  <c r="Q34" i="1"/>
  <c r="N34" i="1"/>
  <c r="K34" i="1"/>
  <c r="H34" i="1"/>
  <c r="E34" i="1"/>
  <c r="AA33" i="1"/>
  <c r="X33" i="1"/>
  <c r="U33" i="1"/>
  <c r="Q33" i="1"/>
  <c r="N33" i="1"/>
  <c r="K33" i="1"/>
  <c r="H33" i="1"/>
  <c r="E33" i="1"/>
  <c r="AA32" i="1"/>
  <c r="X32" i="1"/>
  <c r="U32" i="1"/>
  <c r="Q32" i="1"/>
  <c r="N32" i="1"/>
  <c r="K32" i="1"/>
  <c r="H32" i="1"/>
  <c r="E32" i="1"/>
  <c r="AA31" i="1"/>
  <c r="X31" i="1"/>
  <c r="U31" i="1"/>
  <c r="Q31" i="1"/>
  <c r="N31" i="1"/>
  <c r="K31" i="1"/>
  <c r="H31" i="1"/>
  <c r="E31" i="1"/>
  <c r="AA30" i="1"/>
  <c r="X30" i="1"/>
  <c r="U30" i="1"/>
  <c r="Q30" i="1"/>
  <c r="N30" i="1"/>
  <c r="K30" i="1"/>
  <c r="H30" i="1"/>
  <c r="E30" i="1"/>
  <c r="AA29" i="1"/>
  <c r="X29" i="1"/>
  <c r="U29" i="1"/>
  <c r="Q29" i="1"/>
  <c r="N29" i="1"/>
  <c r="K29" i="1"/>
  <c r="H29" i="1"/>
  <c r="E29" i="1"/>
  <c r="AA28" i="1"/>
  <c r="X28" i="1"/>
  <c r="U28" i="1"/>
  <c r="Q28" i="1"/>
  <c r="N28" i="1"/>
  <c r="K28" i="1"/>
  <c r="H28" i="1"/>
  <c r="E28" i="1"/>
  <c r="AA27" i="1"/>
  <c r="X27" i="1"/>
  <c r="U27" i="1"/>
  <c r="Q27" i="1"/>
  <c r="N27" i="1"/>
  <c r="K27" i="1"/>
  <c r="H27" i="1"/>
  <c r="E27" i="1"/>
  <c r="AA26" i="1"/>
  <c r="X26" i="1"/>
  <c r="U26" i="1"/>
  <c r="Q26" i="1"/>
  <c r="N26" i="1"/>
  <c r="K26" i="1"/>
  <c r="H26" i="1"/>
  <c r="E26" i="1"/>
  <c r="AA25" i="1"/>
  <c r="X25" i="1"/>
  <c r="U25" i="1"/>
  <c r="Q25" i="1"/>
  <c r="N25" i="1"/>
  <c r="K25" i="1"/>
  <c r="H25" i="1"/>
  <c r="E25" i="1"/>
  <c r="AA24" i="1"/>
  <c r="X24" i="1"/>
  <c r="U24" i="1"/>
  <c r="Q24" i="1"/>
  <c r="N24" i="1"/>
  <c r="K24" i="1"/>
  <c r="H24" i="1"/>
  <c r="E24" i="1"/>
  <c r="Z22" i="1"/>
  <c r="Z7" i="1" s="1"/>
  <c r="Y22" i="1"/>
  <c r="W22" i="1"/>
  <c r="W7" i="1" s="1"/>
  <c r="V22" i="1"/>
  <c r="T22" i="1"/>
  <c r="T7" i="1" s="1"/>
  <c r="S22" i="1"/>
  <c r="P22" i="1"/>
  <c r="P7" i="1" s="1"/>
  <c r="O22" i="1"/>
  <c r="M22" i="1"/>
  <c r="M7" i="1" s="1"/>
  <c r="L22" i="1"/>
  <c r="J22" i="1"/>
  <c r="J7" i="1" s="1"/>
  <c r="I22" i="1"/>
  <c r="G22" i="1"/>
  <c r="G7" i="1" s="1"/>
  <c r="F22" i="1"/>
  <c r="D22" i="1"/>
  <c r="D7" i="1" s="1"/>
  <c r="C22" i="1"/>
  <c r="X21" i="1"/>
  <c r="U21" i="1"/>
  <c r="Q21" i="1"/>
  <c r="N21" i="1"/>
  <c r="K21" i="1"/>
  <c r="H21" i="1"/>
  <c r="E21" i="1"/>
  <c r="AA19" i="1"/>
  <c r="U19" i="1"/>
  <c r="Q19" i="1"/>
  <c r="N19" i="1"/>
  <c r="E19" i="1"/>
  <c r="AA18" i="1"/>
  <c r="X18" i="1"/>
  <c r="U18" i="1"/>
  <c r="Q18" i="1"/>
  <c r="N18" i="1"/>
  <c r="E18" i="1"/>
  <c r="AA16" i="1"/>
  <c r="X16" i="1"/>
  <c r="U16" i="1"/>
  <c r="Q16" i="1"/>
  <c r="K16" i="1"/>
  <c r="H16" i="1"/>
  <c r="E16" i="1"/>
  <c r="AA15" i="1"/>
  <c r="X15" i="1"/>
  <c r="U15" i="1"/>
  <c r="Q15" i="1"/>
  <c r="N15" i="1"/>
  <c r="K15" i="1"/>
  <c r="H15" i="1"/>
  <c r="E15" i="1"/>
  <c r="AA14" i="1"/>
  <c r="X14" i="1"/>
  <c r="U14" i="1"/>
  <c r="Q14" i="1"/>
  <c r="N14" i="1"/>
  <c r="K14" i="1"/>
  <c r="H14" i="1"/>
  <c r="E14" i="1"/>
  <c r="AA13" i="1"/>
  <c r="X13" i="1"/>
  <c r="U13" i="1"/>
  <c r="Q13" i="1"/>
  <c r="N13" i="1"/>
  <c r="K13" i="1"/>
  <c r="H13" i="1"/>
  <c r="E13" i="1"/>
  <c r="Z12" i="1"/>
  <c r="Y12" i="1"/>
  <c r="W12" i="1"/>
  <c r="V12" i="1"/>
  <c r="V8" i="1" s="1"/>
  <c r="T12" i="1"/>
  <c r="S12" i="1"/>
  <c r="P12" i="1"/>
  <c r="O12" i="1"/>
  <c r="O8" i="1" s="1"/>
  <c r="M12" i="1"/>
  <c r="L12" i="1"/>
  <c r="L8" i="1" s="1"/>
  <c r="L7" i="1" s="1"/>
  <c r="J12" i="1"/>
  <c r="I12" i="1"/>
  <c r="I8" i="1" s="1"/>
  <c r="G12" i="1"/>
  <c r="F12" i="1"/>
  <c r="F8" i="1" s="1"/>
  <c r="D12" i="1"/>
  <c r="C12" i="1"/>
  <c r="C8" i="1" s="1"/>
  <c r="E8" i="1" s="1"/>
  <c r="AA11" i="1"/>
  <c r="X11" i="1"/>
  <c r="U11" i="1"/>
  <c r="Q11" i="1"/>
  <c r="N11" i="1"/>
  <c r="K11" i="1"/>
  <c r="H11" i="1"/>
  <c r="E11" i="1"/>
  <c r="AA10" i="1"/>
  <c r="X10" i="1"/>
  <c r="U10" i="1"/>
  <c r="Q10" i="1"/>
  <c r="N10" i="1"/>
  <c r="K10" i="1"/>
  <c r="H10" i="1"/>
  <c r="E10" i="1"/>
  <c r="U151" i="1" l="1"/>
  <c r="J52" i="1"/>
  <c r="J105" i="1" s="1"/>
  <c r="J152" i="1" s="1"/>
  <c r="AB19" i="1"/>
  <c r="U173" i="1"/>
  <c r="V52" i="1"/>
  <c r="V105" i="1" s="1"/>
  <c r="Y52" i="1"/>
  <c r="Y105" i="1" s="1"/>
  <c r="Y152" i="1" s="1"/>
  <c r="Z52" i="1"/>
  <c r="Z105" i="1" s="1"/>
  <c r="Z152" i="1" s="1"/>
  <c r="S52" i="1"/>
  <c r="S105" i="1" s="1"/>
  <c r="S152" i="1" s="1"/>
  <c r="T52" i="1"/>
  <c r="T105" i="1" s="1"/>
  <c r="Y157" i="1"/>
  <c r="AB157" i="1" s="1"/>
  <c r="D52" i="1"/>
  <c r="D105" i="1" s="1"/>
  <c r="Y8" i="1"/>
  <c r="AA8" i="1" s="1"/>
  <c r="AB8" i="1" s="1"/>
  <c r="S8" i="1"/>
  <c r="U8" i="1" s="1"/>
  <c r="M52" i="1"/>
  <c r="M105" i="1" s="1"/>
  <c r="L52" i="1"/>
  <c r="L105" i="1" s="1"/>
  <c r="F52" i="1"/>
  <c r="F105" i="1" s="1"/>
  <c r="F152" i="1" s="1"/>
  <c r="H151" i="1"/>
  <c r="C39" i="1"/>
  <c r="E39" i="1" s="1"/>
  <c r="H22" i="1"/>
  <c r="N22" i="1"/>
  <c r="AA22" i="1"/>
  <c r="O39" i="1"/>
  <c r="Q39" i="1" s="1"/>
  <c r="R39" i="1" s="1"/>
  <c r="AB41" i="1"/>
  <c r="AB48" i="1"/>
  <c r="AB49" i="1"/>
  <c r="P6" i="1"/>
  <c r="P51" i="1" s="1"/>
  <c r="E12" i="1"/>
  <c r="K12" i="1"/>
  <c r="D152" i="1"/>
  <c r="Q12" i="1"/>
  <c r="X12" i="1"/>
  <c r="G52" i="1"/>
  <c r="G105" i="1" s="1"/>
  <c r="G152" i="1" s="1"/>
  <c r="M6" i="1"/>
  <c r="M51" i="1" s="1"/>
  <c r="M106" i="1" s="1"/>
  <c r="Z6" i="1"/>
  <c r="Z51" i="1" s="1"/>
  <c r="T6" i="1"/>
  <c r="T51" i="1" s="1"/>
  <c r="D6" i="1"/>
  <c r="D51" i="1" s="1"/>
  <c r="D106" i="1" s="1"/>
  <c r="K151" i="1"/>
  <c r="X151" i="1"/>
  <c r="F39" i="1"/>
  <c r="H39" i="1" s="1"/>
  <c r="I52" i="1"/>
  <c r="I105" i="1" s="1"/>
  <c r="I152" i="1" s="1"/>
  <c r="P52" i="1"/>
  <c r="P105" i="1" s="1"/>
  <c r="P152" i="1" s="1"/>
  <c r="W52" i="1"/>
  <c r="W105" i="1" s="1"/>
  <c r="W152" i="1" s="1"/>
  <c r="N173" i="1"/>
  <c r="AA173" i="1"/>
  <c r="AB173" i="1" s="1"/>
  <c r="R173" i="1"/>
  <c r="I39" i="1"/>
  <c r="AB146" i="1"/>
  <c r="R146" i="1"/>
  <c r="W6" i="1"/>
  <c r="W51" i="1" s="1"/>
  <c r="G6" i="1"/>
  <c r="G51" i="1" s="1"/>
  <c r="E22" i="1"/>
  <c r="K22" i="1"/>
  <c r="Q22" i="1"/>
  <c r="X22" i="1"/>
  <c r="R41" i="1"/>
  <c r="R49" i="1"/>
  <c r="E171" i="1"/>
  <c r="J6" i="1"/>
  <c r="J51" i="1" s="1"/>
  <c r="L39" i="1"/>
  <c r="H171" i="1"/>
  <c r="K171" i="1"/>
  <c r="X171" i="1"/>
  <c r="K172" i="1"/>
  <c r="X172" i="1"/>
  <c r="AB43" i="1"/>
  <c r="AB44" i="1"/>
  <c r="AB45" i="1"/>
  <c r="AB47" i="1"/>
  <c r="R14" i="1"/>
  <c r="N171" i="1"/>
  <c r="N172" i="1"/>
  <c r="Q171" i="1"/>
  <c r="E172" i="1"/>
  <c r="Q172" i="1"/>
  <c r="AA171" i="1"/>
  <c r="AA172" i="1"/>
  <c r="U171" i="1"/>
  <c r="H172" i="1"/>
  <c r="U172" i="1"/>
  <c r="R148" i="1"/>
  <c r="AB147" i="1"/>
  <c r="AB148" i="1"/>
  <c r="AB138" i="1"/>
  <c r="AB139" i="1"/>
  <c r="AB140" i="1"/>
  <c r="AB141" i="1"/>
  <c r="AB142" i="1"/>
  <c r="AB143" i="1"/>
  <c r="AB144" i="1"/>
  <c r="R43" i="1"/>
  <c r="R45" i="1"/>
  <c r="R46" i="1"/>
  <c r="R47" i="1"/>
  <c r="AB10" i="1"/>
  <c r="AB13" i="1"/>
  <c r="AB14" i="1"/>
  <c r="AB15" i="1"/>
  <c r="AB16" i="1"/>
  <c r="AB18" i="1"/>
  <c r="AB21" i="1"/>
  <c r="R21" i="1"/>
  <c r="R25" i="1"/>
  <c r="R27" i="1"/>
  <c r="R30" i="1"/>
  <c r="R31" i="1"/>
  <c r="R32" i="1"/>
  <c r="R33" i="1"/>
  <c r="R34" i="1"/>
  <c r="R36" i="1"/>
  <c r="R37" i="1"/>
  <c r="H136" i="1"/>
  <c r="N136" i="1"/>
  <c r="U136" i="1"/>
  <c r="AA136" i="1"/>
  <c r="AB149" i="1"/>
  <c r="AB150" i="1"/>
  <c r="R42" i="1"/>
  <c r="R147" i="1"/>
  <c r="R13" i="1"/>
  <c r="R18" i="1"/>
  <c r="R19" i="1"/>
  <c r="N151" i="1"/>
  <c r="AA151" i="1"/>
  <c r="AB20" i="1"/>
  <c r="R50" i="1"/>
  <c r="R10" i="1"/>
  <c r="R15" i="1"/>
  <c r="R16" i="1"/>
  <c r="R44" i="1"/>
  <c r="R48" i="1"/>
  <c r="U22" i="1"/>
  <c r="O38" i="1"/>
  <c r="Q38" i="1" s="1"/>
  <c r="V39" i="1"/>
  <c r="V38" i="1" s="1"/>
  <c r="X38" i="1" s="1"/>
  <c r="AB42" i="1"/>
  <c r="AB46" i="1"/>
  <c r="AB50" i="1"/>
  <c r="H12" i="1"/>
  <c r="N12" i="1"/>
  <c r="U12" i="1"/>
  <c r="AA12" i="1"/>
  <c r="AB24" i="1"/>
  <c r="AB25" i="1"/>
  <c r="AB27" i="1"/>
  <c r="AB30" i="1"/>
  <c r="AB31" i="1"/>
  <c r="AB32" i="1"/>
  <c r="AB33" i="1"/>
  <c r="AB34" i="1"/>
  <c r="AB36" i="1"/>
  <c r="AB37" i="1"/>
  <c r="M152" i="1"/>
  <c r="T152" i="1"/>
  <c r="AB54" i="1"/>
  <c r="AB57" i="1"/>
  <c r="AB58" i="1"/>
  <c r="AB61" i="1"/>
  <c r="AB62" i="1"/>
  <c r="AB63" i="1"/>
  <c r="AB64" i="1"/>
  <c r="AB65" i="1"/>
  <c r="AB66" i="1"/>
  <c r="AB68" i="1"/>
  <c r="AB70" i="1"/>
  <c r="AB71" i="1"/>
  <c r="AB72" i="1"/>
  <c r="AB73" i="1"/>
  <c r="AB74" i="1"/>
  <c r="AB75" i="1"/>
  <c r="AB77" i="1"/>
  <c r="AB78" i="1"/>
  <c r="AB79" i="1"/>
  <c r="AB80" i="1"/>
  <c r="AB81" i="1"/>
  <c r="AB83" i="1"/>
  <c r="AB84" i="1"/>
  <c r="AB85" i="1"/>
  <c r="AB86" i="1"/>
  <c r="AB88" i="1"/>
  <c r="AB90" i="1"/>
  <c r="AB91" i="1"/>
  <c r="AB95" i="1"/>
  <c r="AB96" i="1"/>
  <c r="AB97" i="1"/>
  <c r="AB98" i="1"/>
  <c r="AB99" i="1"/>
  <c r="AB100" i="1"/>
  <c r="AB102" i="1"/>
  <c r="AB103" i="1"/>
  <c r="AB104" i="1"/>
  <c r="E136" i="1"/>
  <c r="K136" i="1"/>
  <c r="Q136" i="1"/>
  <c r="X136" i="1"/>
  <c r="E151" i="1"/>
  <c r="Q151" i="1"/>
  <c r="R138" i="1"/>
  <c r="R139" i="1"/>
  <c r="R140" i="1"/>
  <c r="R141" i="1"/>
  <c r="R142" i="1"/>
  <c r="R143" i="1"/>
  <c r="R144" i="1"/>
  <c r="AB145" i="1"/>
  <c r="R145" i="1"/>
  <c r="R24" i="1"/>
  <c r="R40" i="1"/>
  <c r="E53" i="1"/>
  <c r="AB40" i="1"/>
  <c r="R155" i="1"/>
  <c r="R156" i="1"/>
  <c r="R166" i="1"/>
  <c r="AB166" i="1"/>
  <c r="H53" i="1"/>
  <c r="K53" i="1"/>
  <c r="N53" i="1"/>
  <c r="Q53" i="1"/>
  <c r="U53" i="1"/>
  <c r="X53" i="1"/>
  <c r="AA53" i="1"/>
  <c r="R54" i="1"/>
  <c r="R57" i="1"/>
  <c r="R58" i="1"/>
  <c r="R61" i="1"/>
  <c r="R62" i="1"/>
  <c r="R63" i="1"/>
  <c r="R64" i="1"/>
  <c r="R65" i="1"/>
  <c r="R66" i="1"/>
  <c r="E67" i="1"/>
  <c r="H67" i="1"/>
  <c r="K67" i="1"/>
  <c r="N67" i="1"/>
  <c r="Q67" i="1"/>
  <c r="U67" i="1"/>
  <c r="X67" i="1"/>
  <c r="AA67" i="1"/>
  <c r="R68" i="1"/>
  <c r="R70" i="1"/>
  <c r="R71" i="1"/>
  <c r="R72" i="1"/>
  <c r="R73" i="1"/>
  <c r="R74" i="1"/>
  <c r="R75" i="1"/>
  <c r="R77" i="1"/>
  <c r="R78" i="1"/>
  <c r="R79" i="1"/>
  <c r="R80" i="1"/>
  <c r="R81" i="1"/>
  <c r="R83" i="1"/>
  <c r="R84" i="1"/>
  <c r="R85" i="1"/>
  <c r="R86" i="1"/>
  <c r="E87" i="1"/>
  <c r="H87" i="1"/>
  <c r="K87" i="1"/>
  <c r="N87" i="1"/>
  <c r="Q87" i="1"/>
  <c r="U87" i="1"/>
  <c r="X87" i="1"/>
  <c r="AA87" i="1"/>
  <c r="R88" i="1"/>
  <c r="R90" i="1"/>
  <c r="R91" i="1"/>
  <c r="R92" i="1"/>
  <c r="R97" i="1"/>
  <c r="R98" i="1"/>
  <c r="R99" i="1"/>
  <c r="R100" i="1"/>
  <c r="R102" i="1"/>
  <c r="R103" i="1"/>
  <c r="R104" i="1"/>
  <c r="R137" i="1"/>
  <c r="AB137" i="1"/>
  <c r="AB155" i="1"/>
  <c r="AB156" i="1"/>
  <c r="R20" i="1"/>
  <c r="C152" i="1"/>
  <c r="E105" i="1"/>
  <c r="E52" i="1"/>
  <c r="O152" i="1"/>
  <c r="Q105" i="1"/>
  <c r="S39" i="1"/>
  <c r="Y39" i="1"/>
  <c r="N105" i="1"/>
  <c r="L152" i="1"/>
  <c r="N52" i="1"/>
  <c r="V152" i="1"/>
  <c r="R56" i="1"/>
  <c r="AB56" i="1"/>
  <c r="R60" i="1"/>
  <c r="AB60" i="1"/>
  <c r="R95" i="1"/>
  <c r="R96" i="1"/>
  <c r="AB92" i="1"/>
  <c r="R149" i="1"/>
  <c r="R150" i="1"/>
  <c r="Z106" i="1" l="1"/>
  <c r="R67" i="1"/>
  <c r="J106" i="1"/>
  <c r="Q52" i="1"/>
  <c r="R52" i="1" s="1"/>
  <c r="U105" i="1"/>
  <c r="U152" i="1" s="1"/>
  <c r="U52" i="1"/>
  <c r="AA105" i="1"/>
  <c r="AB105" i="1" s="1"/>
  <c r="AA52" i="1"/>
  <c r="AB52" i="1" s="1"/>
  <c r="T106" i="1"/>
  <c r="R12" i="1"/>
  <c r="AB53" i="1"/>
  <c r="C38" i="1"/>
  <c r="E38" i="1" s="1"/>
  <c r="R38" i="1" s="1"/>
  <c r="AB12" i="1"/>
  <c r="Y7" i="1"/>
  <c r="AA7" i="1" s="1"/>
  <c r="S7" i="1"/>
  <c r="U7" i="1" s="1"/>
  <c r="AB22" i="1"/>
  <c r="R53" i="1"/>
  <c r="H105" i="1"/>
  <c r="H152" i="1" s="1"/>
  <c r="C7" i="1"/>
  <c r="E7" i="1" s="1"/>
  <c r="R171" i="1"/>
  <c r="G106" i="1"/>
  <c r="H52" i="1"/>
  <c r="X52" i="1"/>
  <c r="X105" i="1"/>
  <c r="X152" i="1" s="1"/>
  <c r="P106" i="1"/>
  <c r="R22" i="1"/>
  <c r="K52" i="1"/>
  <c r="R151" i="1"/>
  <c r="AB136" i="1"/>
  <c r="AB171" i="1"/>
  <c r="W106" i="1"/>
  <c r="N152" i="1"/>
  <c r="K105" i="1"/>
  <c r="K152" i="1" s="1"/>
  <c r="F38" i="1"/>
  <c r="H38" i="1" s="1"/>
  <c r="X39" i="1"/>
  <c r="R136" i="1"/>
  <c r="R87" i="1"/>
  <c r="R172" i="1"/>
  <c r="AB172" i="1"/>
  <c r="K8" i="1"/>
  <c r="I7" i="1"/>
  <c r="N39" i="1"/>
  <c r="L38" i="1"/>
  <c r="N38" i="1" s="1"/>
  <c r="K39" i="1"/>
  <c r="I38" i="1"/>
  <c r="K38" i="1" s="1"/>
  <c r="E152" i="1"/>
  <c r="AB151" i="1"/>
  <c r="AB87" i="1"/>
  <c r="AB67" i="1"/>
  <c r="Q8" i="1"/>
  <c r="R8" i="1" s="1"/>
  <c r="O7" i="1"/>
  <c r="X8" i="1"/>
  <c r="V7" i="1"/>
  <c r="H8" i="1"/>
  <c r="F7" i="1"/>
  <c r="N8" i="1"/>
  <c r="AA39" i="1"/>
  <c r="AB39" i="1" s="1"/>
  <c r="Y38" i="1"/>
  <c r="Q152" i="1"/>
  <c r="R105" i="1"/>
  <c r="U39" i="1"/>
  <c r="S38" i="1"/>
  <c r="AA152" i="1" l="1"/>
  <c r="AB7" i="1"/>
  <c r="C6" i="1"/>
  <c r="C51" i="1" s="1"/>
  <c r="I6" i="1"/>
  <c r="K7" i="1"/>
  <c r="Q7" i="1"/>
  <c r="R7" i="1" s="1"/>
  <c r="O6" i="1"/>
  <c r="H7" i="1"/>
  <c r="F6" i="1"/>
  <c r="X7" i="1"/>
  <c r="V6" i="1"/>
  <c r="N7" i="1"/>
  <c r="L6" i="1"/>
  <c r="AA38" i="1"/>
  <c r="AB38" i="1" s="1"/>
  <c r="Y6" i="1"/>
  <c r="U38" i="1"/>
  <c r="S6" i="1"/>
  <c r="E6" i="1" l="1"/>
  <c r="E51" i="1" s="1"/>
  <c r="E106" i="1" s="1"/>
  <c r="C106" i="1"/>
  <c r="C110" i="1"/>
  <c r="C108" i="1" s="1"/>
  <c r="I51" i="1"/>
  <c r="K6" i="1"/>
  <c r="K51" i="1" s="1"/>
  <c r="O51" i="1"/>
  <c r="Q6" i="1"/>
  <c r="L51" i="1"/>
  <c r="N6" i="1"/>
  <c r="N51" i="1" s="1"/>
  <c r="N106" i="1" s="1"/>
  <c r="V51" i="1"/>
  <c r="X6" i="1"/>
  <c r="X51" i="1" s="1"/>
  <c r="H6" i="1"/>
  <c r="H51" i="1" s="1"/>
  <c r="H106" i="1" s="1"/>
  <c r="F51" i="1"/>
  <c r="S51" i="1"/>
  <c r="U6" i="1"/>
  <c r="U51" i="1" s="1"/>
  <c r="Y51" i="1"/>
  <c r="AA6" i="1"/>
  <c r="I106" i="1" l="1"/>
  <c r="K106" i="1" s="1"/>
  <c r="I110" i="1"/>
  <c r="I108" i="1" s="1"/>
  <c r="R6" i="1"/>
  <c r="Q51" i="1"/>
  <c r="O106" i="1"/>
  <c r="O110" i="1"/>
  <c r="O108" i="1" s="1"/>
  <c r="V106" i="1"/>
  <c r="X106" i="1" s="1"/>
  <c r="V124" i="1" s="1"/>
  <c r="V110" i="1"/>
  <c r="V108" i="1" s="1"/>
  <c r="F106" i="1"/>
  <c r="F110" i="1"/>
  <c r="F108" i="1" s="1"/>
  <c r="L106" i="1"/>
  <c r="L110" i="1"/>
  <c r="L108" i="1" s="1"/>
  <c r="Y106" i="1"/>
  <c r="AA106" i="1" s="1"/>
  <c r="Y110" i="1"/>
  <c r="Y108" i="1" s="1"/>
  <c r="AA51" i="1"/>
  <c r="AB51" i="1" s="1"/>
  <c r="AB6" i="1"/>
  <c r="S106" i="1"/>
  <c r="U106" i="1" s="1"/>
  <c r="S110" i="1"/>
  <c r="S108" i="1" s="1"/>
  <c r="R51" i="1" l="1"/>
  <c r="Q106" i="1"/>
</calcChain>
</file>

<file path=xl/sharedStrings.xml><?xml version="1.0" encoding="utf-8"?>
<sst xmlns="http://schemas.openxmlformats.org/spreadsheetml/2006/main" count="994" uniqueCount="235">
  <si>
    <t>тыс.руб.</t>
  </si>
  <si>
    <t>№ п/п</t>
  </si>
  <si>
    <t>ПОКАЗАТЕЛИ</t>
  </si>
  <si>
    <t>Исполнение за отчетный финансовый год</t>
  </si>
  <si>
    <t>Первоначальный план</t>
  </si>
  <si>
    <t>Уточненный план</t>
  </si>
  <si>
    <t>Местный бюджет (всего)</t>
  </si>
  <si>
    <t>в том числе:</t>
  </si>
  <si>
    <t>в том числе</t>
  </si>
  <si>
    <t>без  целевых средств</t>
  </si>
  <si>
    <t>без целевых средств</t>
  </si>
  <si>
    <t>I.</t>
  </si>
  <si>
    <t>Доходы</t>
  </si>
  <si>
    <t>1.1</t>
  </si>
  <si>
    <t>Налоговые и неналоговые доходы</t>
  </si>
  <si>
    <t>1.1.1.</t>
  </si>
  <si>
    <t>Налоговые доходы</t>
  </si>
  <si>
    <t>из них:</t>
  </si>
  <si>
    <t>а)</t>
  </si>
  <si>
    <t>Налог на доходы физических лиц</t>
  </si>
  <si>
    <t>б)</t>
  </si>
  <si>
    <t>Акцизы по подакцизным товарам (продукции)</t>
  </si>
  <si>
    <t>в)</t>
  </si>
  <si>
    <t>Налоги на совокупный доход</t>
  </si>
  <si>
    <t>-налог, взимаемый в связи с применением упрощенной системы налогообложения</t>
  </si>
  <si>
    <t>-единый налог на вмененный доход для отдельных видов деятельности</t>
  </si>
  <si>
    <t>-единый сельскохозяйственный налог</t>
  </si>
  <si>
    <t>-патентная система налогообложения</t>
  </si>
  <si>
    <t>г)</t>
  </si>
  <si>
    <t>Налог на имущество физических лиц</t>
  </si>
  <si>
    <t>д)</t>
  </si>
  <si>
    <t>Земельный налог</t>
  </si>
  <si>
    <t>е)</t>
  </si>
  <si>
    <t>Государственная пошлина</t>
  </si>
  <si>
    <t>ж)</t>
  </si>
  <si>
    <t>Прочие налоги</t>
  </si>
  <si>
    <t>1.1.2.</t>
  </si>
  <si>
    <t>Неналоговые доходы</t>
  </si>
  <si>
    <t>Доходы в виде прибыли, приходящейся на доли в уставных капиталах, или дивидендов по акциям</t>
  </si>
  <si>
    <t>Проценты, полученные от предоставления бюджетных кредитов</t>
  </si>
  <si>
    <t>Доходы, полученные в виде арендной платы за земельные участки</t>
  </si>
  <si>
    <t>Доходы от сдачи имущества в аренду</t>
  </si>
  <si>
    <t>Доходы от сдачи в аренду имущества, составляющего казну (за исключением земельных участков)</t>
  </si>
  <si>
    <t>Прочие доходы от использования имущества и прав, находящихся в государственной и муниципальной собственности</t>
  </si>
  <si>
    <t>Платежи от муниципальных унитарных предприятий</t>
  </si>
  <si>
    <t>з)</t>
  </si>
  <si>
    <t>Плата за негативное воздействие на окружающую среду</t>
  </si>
  <si>
    <t>и)</t>
  </si>
  <si>
    <t>Доходы от оказания платных услуг (работ) и компенсации затрат государства</t>
  </si>
  <si>
    <t>к)</t>
  </si>
  <si>
    <t>Доходы от продажи материальных и нематериальных активов</t>
  </si>
  <si>
    <t>л)</t>
  </si>
  <si>
    <t>Штрафы, санкции, возмещение ущерба</t>
  </si>
  <si>
    <t>-прочие денежные взыскания (штрафы) за правонарушения в области дорожного движения</t>
  </si>
  <si>
    <t>м)</t>
  </si>
  <si>
    <t>Прочие неналоговые доходы</t>
  </si>
  <si>
    <t>1.2</t>
  </si>
  <si>
    <t>Безвозмездные поступления всего</t>
  </si>
  <si>
    <t>1.2.1</t>
  </si>
  <si>
    <t>Безвозмездные поступления от бюджетов других уровней</t>
  </si>
  <si>
    <t xml:space="preserve">Дотации, в т.ч. </t>
  </si>
  <si>
    <t>на выравнивание бюджетной обеспеченности</t>
  </si>
  <si>
    <t>на сбалансированность бюджета</t>
  </si>
  <si>
    <t>прочие дотации</t>
  </si>
  <si>
    <t>Субсидии, в т.ч.</t>
  </si>
  <si>
    <t>-капитального характера</t>
  </si>
  <si>
    <t>Субвенции</t>
  </si>
  <si>
    <t>Иные межбюджетные трансферты</t>
  </si>
  <si>
    <t>1.2.2</t>
  </si>
  <si>
    <t>Прочие безвозмездные перечисления</t>
  </si>
  <si>
    <t>1.2.3</t>
  </si>
  <si>
    <t xml:space="preserve">Доходы бюджетов от возврата бюджетами и организациями остатков субсидий, субвенций и иных межбюджетных трансфертов, имеющих целевое назначение, прошлых лет </t>
  </si>
  <si>
    <t>1.2.4</t>
  </si>
  <si>
    <t>Возврат остатков субвенций, субсидий и иных межбюджетных трансфертов, имеющих целевое назначение, прошлых лет</t>
  </si>
  <si>
    <t>ИТОГО ДОХОДОВ</t>
  </si>
  <si>
    <t>II.</t>
  </si>
  <si>
    <t xml:space="preserve">Расходы  </t>
  </si>
  <si>
    <t>Органы местного самоуправления</t>
  </si>
  <si>
    <t>Расходы на выплаты персоналу в целях обеспечения выполнения функций муниципальными органами (КВР 100)-всего</t>
  </si>
  <si>
    <t>Фонд оплаты труда муниципальных органов (КВР 121)</t>
  </si>
  <si>
    <t xml:space="preserve">Взносы по обязательному социальному страхованию (КВР 129)      </t>
  </si>
  <si>
    <t xml:space="preserve">Закупка товаров, работ и услуг для обеспечения муниципальных нужд   (КВР 200) </t>
  </si>
  <si>
    <t>- коммунальные услуги (подстатья КОСГУ 223)</t>
  </si>
  <si>
    <t>- работы, услуги по содержанию имущества (подстатья КОСГУ 225)</t>
  </si>
  <si>
    <t>- увеличение стоимости основных средств (статья КОСГУ 310)</t>
  </si>
  <si>
    <t>1.3</t>
  </si>
  <si>
    <t xml:space="preserve">Расходы на социальное обеспечение и иные выплаты населению (КВР 300) </t>
  </si>
  <si>
    <t>1.4</t>
  </si>
  <si>
    <t xml:space="preserve">Расходы на капитальные вложения в объекты муниципальной собственности (КВР 400) </t>
  </si>
  <si>
    <t>1.5</t>
  </si>
  <si>
    <t>Межбюджетные трансферты (КВР 500)</t>
  </si>
  <si>
    <t>1.6</t>
  </si>
  <si>
    <t xml:space="preserve">Предоставление субсидий бюджетным, автономным учреждениям и иным некоммерческим организациям (КВР 600) </t>
  </si>
  <si>
    <t xml:space="preserve">Расходы на содержание учреждений, осуществляемые за счет предоставленных субсидий бюджетным и автономным учреждениям                                                 </t>
  </si>
  <si>
    <t>1.6.1</t>
  </si>
  <si>
    <t xml:space="preserve">Выплаты персоналу, всего:       </t>
  </si>
  <si>
    <t>-оплата труда и начисления на выплаты по оплате труда</t>
  </si>
  <si>
    <t>1.6.2</t>
  </si>
  <si>
    <t>Социальные и иные выплаты населению</t>
  </si>
  <si>
    <t>1.6.3</t>
  </si>
  <si>
    <t>Уплата налогов, сборов и иных платежей</t>
  </si>
  <si>
    <t>1.6.4</t>
  </si>
  <si>
    <t>Безвозмездные перечисления организациям</t>
  </si>
  <si>
    <t>1.6.5</t>
  </si>
  <si>
    <t>Прочие расходы (кроме расходов на закупку товаров, работ, услуг)</t>
  </si>
  <si>
    <t>Расходы на закупку товаров, работ, услуг</t>
  </si>
  <si>
    <t>-коммунальные услуги (подстатья КОСГУ 223)</t>
  </si>
  <si>
    <t>1.7</t>
  </si>
  <si>
    <t xml:space="preserve">Расходы на обслуживание муниципального долга (КВР 730) </t>
  </si>
  <si>
    <t>1.8</t>
  </si>
  <si>
    <r>
      <t>Расходы на иные бюджетные ассигнования (КВР 800)</t>
    </r>
    <r>
      <rPr>
        <b/>
        <sz val="10"/>
        <rFont val="Times New Roman"/>
        <family val="1"/>
        <charset val="204"/>
      </rPr>
      <t xml:space="preserve"> </t>
    </r>
  </si>
  <si>
    <t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</t>
  </si>
  <si>
    <t xml:space="preserve">Расходы на исполнение судебных актов (КВР 830) </t>
  </si>
  <si>
    <t xml:space="preserve">Расходы на уплату налогов, сборов и иных платежей (КВР 850) </t>
  </si>
  <si>
    <t xml:space="preserve">Резервные средства (КВР 870)   </t>
  </si>
  <si>
    <t>2</t>
  </si>
  <si>
    <t>Казенные учреждения</t>
  </si>
  <si>
    <t>2.1</t>
  </si>
  <si>
    <t>Расходы на выплаты персоналу в целях обеспечения выполнения функций казенными учреждениями (КВР 100) - всего</t>
  </si>
  <si>
    <t>Фонд оплаты труда казенных учреждений (КВР 111)</t>
  </si>
  <si>
    <t xml:space="preserve">Взносы по обязательному социальному страхованию (КВР 119)      </t>
  </si>
  <si>
    <t>2.2</t>
  </si>
  <si>
    <t>Закупка товаров, работ и услуг для обеспечения муниципальных нужд (КВР 200)</t>
  </si>
  <si>
    <t>2.3</t>
  </si>
  <si>
    <t xml:space="preserve">Социальное обеспечение и иные выплаты населению (КВР 300) </t>
  </si>
  <si>
    <t>2.4</t>
  </si>
  <si>
    <t xml:space="preserve">Капитальные вложения в объекты муниципальной собственности (КВР 400) </t>
  </si>
  <si>
    <t>2.5</t>
  </si>
  <si>
    <t>2.6</t>
  </si>
  <si>
    <t xml:space="preserve">Иные бюджетные ассигнования (КВР 800) </t>
  </si>
  <si>
    <t xml:space="preserve"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 </t>
  </si>
  <si>
    <t>Расходы на исполнение судебных актов (КВР 830)</t>
  </si>
  <si>
    <t>Расходы на уплату налогов, сборов и иных платежей (КВР 850)</t>
  </si>
  <si>
    <t>ИТОГО РАСХОДОВ</t>
  </si>
  <si>
    <t>Профицит (+)/дефицит (-)</t>
  </si>
  <si>
    <r>
      <rPr>
        <i/>
        <u/>
        <sz val="8"/>
        <rFont val="Times New Roman"/>
        <family val="1"/>
        <charset val="204"/>
      </rPr>
      <t xml:space="preserve">Справочно: </t>
    </r>
    <r>
      <rPr>
        <sz val="8"/>
        <rFont val="Times New Roman"/>
        <family val="1"/>
        <charset val="204"/>
      </rPr>
      <t>Профицит(+) /дефицит(-) в соответствии с отчетом об исполнении бюджета (месячный)</t>
    </r>
  </si>
  <si>
    <t>III</t>
  </si>
  <si>
    <t>Источники финансирования дефицита бюджета</t>
  </si>
  <si>
    <t>х</t>
  </si>
  <si>
    <t>3.1</t>
  </si>
  <si>
    <t>Изменение остатков бюджетных средств</t>
  </si>
  <si>
    <t>3.2</t>
  </si>
  <si>
    <t>Бюджетные кредиты полученные от других бюджетов бюджетной системы</t>
  </si>
  <si>
    <t xml:space="preserve">Привлечение кредитов </t>
  </si>
  <si>
    <t>Привлечение кредитов на пополнение остатков средств на счетах бюджетов</t>
  </si>
  <si>
    <t>Погашение кредитов</t>
  </si>
  <si>
    <t>Погашение кредитов на пополнение остатков средств на счетах бюджетов</t>
  </si>
  <si>
    <t>3.3</t>
  </si>
  <si>
    <t>Кредиты кредитных организаций</t>
  </si>
  <si>
    <t>Привлечение кредитов</t>
  </si>
  <si>
    <t>3.4</t>
  </si>
  <si>
    <t>Иные источники внутреннего финансирования дефицитов бюджетов</t>
  </si>
  <si>
    <t>Увеличение фин.активов в мун.собственности за счет средств учреждений, лицевые счета которым открыты в тер.органах ФК или в фин. органах</t>
  </si>
  <si>
    <t>Исполнение муниципальных гарантий в валюте РФ</t>
  </si>
  <si>
    <t>Бюджетные кредиты, предоставленные внутри страны в валюте РФ</t>
  </si>
  <si>
    <t>IV.</t>
  </si>
  <si>
    <t>V.</t>
  </si>
  <si>
    <t>Просроченная кредиторская задолженность - всего</t>
  </si>
  <si>
    <t>VI.</t>
  </si>
  <si>
    <t>Функциональная структура расходов</t>
  </si>
  <si>
    <t>Общегосударственные вопросы</t>
  </si>
  <si>
    <t>Национальная оборона</t>
  </si>
  <si>
    <t>Нац. безоп.и правоохр. деят-ть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</si>
  <si>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</si>
  <si>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</si>
  <si>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</si>
  <si>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</si>
  <si>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</si>
  <si>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Здравоохранение</t>
  </si>
  <si>
    <t>Социальная политика</t>
  </si>
  <si>
    <t>Физическая культура и спорт</t>
  </si>
  <si>
    <t>Средства массовой информации</t>
  </si>
  <si>
    <t>Обслуживание гос. и муниц.долга</t>
  </si>
  <si>
    <t>Межбюджетные трансферты</t>
  </si>
  <si>
    <t>Итого</t>
  </si>
  <si>
    <t>Проверка</t>
  </si>
  <si>
    <t>VII.</t>
  </si>
  <si>
    <t>Справочно:</t>
  </si>
  <si>
    <t>7.1</t>
  </si>
  <si>
    <t>Муниципальный дорожный фонд:</t>
  </si>
  <si>
    <t>Х</t>
  </si>
  <si>
    <t>- доходы</t>
  </si>
  <si>
    <t>- расходы</t>
  </si>
  <si>
    <t>7.2</t>
  </si>
  <si>
    <t>Муниципальный долг, в том числе</t>
  </si>
  <si>
    <t xml:space="preserve"> -бюджетные кредиты</t>
  </si>
  <si>
    <t xml:space="preserve"> -кредиты от кредитных организаций</t>
  </si>
  <si>
    <t xml:space="preserve"> -муниципальные гарантии</t>
  </si>
  <si>
    <t>7.3</t>
  </si>
  <si>
    <t>7.4</t>
  </si>
  <si>
    <t>Количество муниципальных учреждений, в т.ч.</t>
  </si>
  <si>
    <t xml:space="preserve"> -органов местного самоуправления</t>
  </si>
  <si>
    <t xml:space="preserve"> -казенных</t>
  </si>
  <si>
    <t xml:space="preserve"> -бюджетных</t>
  </si>
  <si>
    <t xml:space="preserve"> -автономных</t>
  </si>
  <si>
    <t>7.5</t>
  </si>
  <si>
    <t>Итого оплата труда и начисления на выплаты по оплате труда</t>
  </si>
  <si>
    <t>7.6</t>
  </si>
  <si>
    <t>Итого коммунальные услуги (подстатья КОСГУ 223)</t>
  </si>
  <si>
    <t>7.7</t>
  </si>
  <si>
    <t>7.8</t>
  </si>
  <si>
    <t xml:space="preserve">                           (должность)                     (ФИО)                             (телефон)</t>
  </si>
  <si>
    <r>
      <rPr>
        <b/>
        <sz val="11"/>
        <rFont val="Times New Roman"/>
        <family val="1"/>
        <charset val="204"/>
      </rPr>
      <t xml:space="preserve">Объем предусмотренных средств на доплаты до МРОТ (с начислениями) </t>
    </r>
    <r>
      <rPr>
        <b/>
        <sz val="10"/>
        <rFont val="Times New Roman"/>
        <family val="1"/>
        <charset val="204"/>
      </rPr>
      <t xml:space="preserve">
*</t>
    </r>
    <r>
      <rPr>
        <sz val="10"/>
        <rFont val="Times New Roman"/>
        <family val="1"/>
        <charset val="204"/>
      </rPr>
      <t xml:space="preserve"> в графе «за счет целевых средств» отражаются расходы на доплаты  за счет средств субвенций из областного бюджета; 
*в графе «без целевых средств»  отражаются расходы местного бюджета на доплаты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 </t>
    </r>
  </si>
  <si>
    <r>
      <rPr>
        <b/>
        <sz val="11"/>
        <rFont val="Times New Roman"/>
        <family val="1"/>
        <charset val="204"/>
      </rPr>
      <t>Среднесписочная численность получателей доплат, человек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*в графе «за счет целевых средств» отражается численность получателей доплат за счет средств субвенций из областного бюджета; 
*в графе «без целевых средств»  отражается численность получателей доплат за счет средств местного бюджета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учреждений.</t>
    </r>
  </si>
  <si>
    <t>за счет целевых средств</t>
  </si>
  <si>
    <t>1.6.6</t>
  </si>
  <si>
    <t>Итого штатных единиц:</t>
  </si>
  <si>
    <t>Штатные единицы в казенных учреждениях, ед. (исполнено -фактически замещенные без учета вакансий, план -  в соответствии с утвержденными штатными расписаниями)</t>
  </si>
  <si>
    <t>Штатные единицы в органах местного самоуправления, ед. (исполнено -фактически замещенные без учета вакансий, план -  в соответствии с утвержденными штатными расписаниями)</t>
  </si>
  <si>
    <t>Штатные единицы в бюджетных учреждениях (исполнено -фактически замещенные без учета вакансий, план -  в соответствии с утвержденными штатными расписаниями)</t>
  </si>
  <si>
    <t>Штатные единицы в автономных учреждениях (исполнено -фактически замещенные без учета вакансий, план -  в соответствии с утвержденными штатными расписаниями)</t>
  </si>
  <si>
    <t>Темп роста к  исполнению 2022г. без ЦС</t>
  </si>
  <si>
    <t>- за счет остатков средств по муниципальному дорожному фонду</t>
  </si>
  <si>
    <t>- за счет остатков средств от платы за негативное воздействие на окружающую среду, от штрафов за административные правонарушения в области охраны окружающей среды и природопользования</t>
  </si>
  <si>
    <t xml:space="preserve">Итого капитальные вложения в объекты муниципальной собственности (КВР 400) </t>
  </si>
  <si>
    <t>2024 год (отчетный год)</t>
  </si>
  <si>
    <t>2025 год</t>
  </si>
  <si>
    <t>Ожидаемая оценка исполнения за 2025 год</t>
  </si>
  <si>
    <t>Темп роста к исполнению  2024 г. без ЦС</t>
  </si>
  <si>
    <t>Туристический налог</t>
  </si>
  <si>
    <r>
      <t xml:space="preserve">Остатки бюджетных средств на отчетную дату </t>
    </r>
    <r>
      <rPr>
        <sz val="8"/>
        <rFont val="Times New Roman"/>
        <family val="1"/>
        <charset val="204"/>
      </rPr>
      <t>(в соотвествии со строкой 10800  формы 0503387M)</t>
    </r>
  </si>
  <si>
    <r>
      <t xml:space="preserve">целевые </t>
    </r>
    <r>
      <rPr>
        <sz val="8"/>
        <rFont val="Times New Roman"/>
        <family val="1"/>
        <charset val="204"/>
      </rPr>
      <t>(в соотвествии со строкой 10800  формы )</t>
    </r>
  </si>
  <si>
    <r>
      <t xml:space="preserve">нецелевые </t>
    </r>
    <r>
      <rPr>
        <sz val="8"/>
        <rFont val="Times New Roman"/>
        <family val="1"/>
        <charset val="204"/>
      </rPr>
      <t>(строка 10800 формы  "минус" строка 10810 )</t>
    </r>
  </si>
  <si>
    <t>- за счет привлечения остатков средств бюджетных и автономных учреждений (строка 10852 формы   )</t>
  </si>
  <si>
    <t>- за счет привлечения остатков средств участников казначейского сопровождения (строка 10853 формы)</t>
  </si>
  <si>
    <t>- за счет привлечения средств, поступившие во временное распоряжение, привлеченные на единый счет бюджета и не размещенные на банковских депозитах(строка 10851 формы)</t>
  </si>
  <si>
    <t>- за счет поступлений от юридических лиц для осуществления расходов в соответствии с заключенными соглашениями (договорами)</t>
  </si>
  <si>
    <t>- прочие остатки</t>
  </si>
  <si>
    <t>Исполнитель Зам.начальника финансового управления -начальник бюджетного отдела    __________ Н.А.Пикина,881554-50270</t>
  </si>
  <si>
    <t>Исполнено на 01.04.2024</t>
  </si>
  <si>
    <t>Исполнено за апрель</t>
  </si>
  <si>
    <t>Паспорт муниципального образования Печенгский муниципальный округ по исполнению бюджета на "01"апреля 2025 года</t>
  </si>
  <si>
    <t>Исполнено на 01.04.2025</t>
  </si>
  <si>
    <t>Ожидаемое исполнение за апрель (n+1)</t>
  </si>
  <si>
    <t xml:space="preserve">"10" апреля 2025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</si>
</sst>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17"/>
      <name val="Times New Roman"/>
      <family val="1"/>
      <charset val="204"/>
    </font>
    <font>
      <b/>
      <sz val="10"/>
      <color indexed="12"/>
      <name val="Times New Roman"/>
      <family val="1"/>
      <charset val="204"/>
    </font>
    <font>
      <sz val="8"/>
      <color indexed="12"/>
      <name val="Times New Roman"/>
      <family val="1"/>
      <charset val="204"/>
    </font>
    <font>
      <sz val="10"/>
      <color indexed="12"/>
      <name val="Arial Cyr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7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7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indexed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indexed="12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7"/>
      <name val="Times New Roman"/>
      <family val="1"/>
      <charset val="204"/>
    </font>
    <font>
      <b/>
      <sz val="7"/>
      <color indexed="12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i/>
      <sz val="8"/>
      <name val="Times New Roman"/>
      <family val="1"/>
      <charset val="204"/>
    </font>
    <font>
      <i/>
      <u/>
      <sz val="8"/>
      <name val="Times New Roman"/>
      <family val="1"/>
      <charset val="204"/>
    </font>
    <font>
      <i/>
      <sz val="8"/>
      <color indexed="17"/>
      <name val="Times New Roman"/>
      <family val="1"/>
      <charset val="204"/>
    </font>
    <font>
      <b/>
      <sz val="8"/>
      <color indexed="17"/>
      <name val="Times New Roman"/>
      <family val="1"/>
      <charset val="204"/>
    </font>
    <font>
      <i/>
      <sz val="8"/>
      <color indexed="12"/>
      <name val="Times New Roman"/>
      <family val="1"/>
      <charset val="204"/>
    </font>
    <font>
      <b/>
      <sz val="10"/>
      <color theme="6" tint="-0.249977111117893"/>
      <name val="Times New Roman"/>
      <family val="1"/>
      <charset val="204"/>
    </font>
    <font>
      <b/>
      <sz val="10"/>
      <color rgb="FF006600"/>
      <name val="Times New Roman"/>
      <family val="1"/>
      <charset val="204"/>
    </font>
    <font>
      <b/>
      <i/>
      <sz val="7"/>
      <color indexed="12"/>
      <name val="Times New Roman"/>
      <family val="1"/>
      <charset val="204"/>
    </font>
    <font>
      <i/>
      <sz val="7"/>
      <color indexed="12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17"/>
      <name val="Times New Roman"/>
      <family val="1"/>
      <charset val="204"/>
    </font>
    <font>
      <sz val="8"/>
      <color indexed="17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9"/>
      <name val="Times New Roman"/>
      <family val="1"/>
      <charset val="204"/>
    </font>
    <font>
      <sz val="10"/>
      <color rgb="FF00B05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6EA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8">
    <xf numFmtId="0" fontId="0" fillId="0" borderId="0" xfId="0"/>
    <xf numFmtId="0" fontId="2" fillId="0" borderId="0" xfId="0" applyFont="1" applyAlignment="1" applyProtection="1">
      <alignment horizontal="left" wrapText="1"/>
      <protection locked="0"/>
    </xf>
    <xf numFmtId="0" fontId="3" fillId="0" borderId="0" xfId="0" applyNumberFormat="1" applyFont="1" applyFill="1" applyAlignment="1" applyProtection="1">
      <alignment wrapText="1"/>
      <protection locked="0"/>
    </xf>
    <xf numFmtId="0" fontId="4" fillId="0" borderId="0" xfId="0" applyFont="1" applyFill="1" applyBorder="1" applyAlignment="1" applyProtection="1">
      <alignment vertical="top" wrapText="1"/>
      <protection locked="0"/>
    </xf>
    <xf numFmtId="0" fontId="5" fillId="0" borderId="0" xfId="0" applyFont="1" applyFill="1" applyBorder="1" applyAlignment="1" applyProtection="1">
      <alignment vertical="top" wrapText="1"/>
      <protection locked="0"/>
    </xf>
    <xf numFmtId="164" fontId="4" fillId="0" borderId="0" xfId="0" applyNumberFormat="1" applyFont="1" applyFill="1" applyBorder="1" applyAlignment="1" applyProtection="1">
      <alignment vertical="top" wrapText="1"/>
      <protection locked="0"/>
    </xf>
    <xf numFmtId="0" fontId="11" fillId="0" borderId="3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3" fontId="13" fillId="3" borderId="3" xfId="0" applyNumberFormat="1" applyFont="1" applyFill="1" applyBorder="1" applyAlignment="1" applyProtection="1">
      <alignment horizontal="left" wrapText="1"/>
    </xf>
    <xf numFmtId="49" fontId="6" fillId="3" borderId="3" xfId="0" applyNumberFormat="1" applyFont="1" applyFill="1" applyBorder="1" applyAlignment="1" applyProtection="1">
      <alignment horizontal="justify" wrapText="1"/>
    </xf>
    <xf numFmtId="3" fontId="6" fillId="3" borderId="3" xfId="0" applyNumberFormat="1" applyFont="1" applyFill="1" applyBorder="1" applyAlignment="1" applyProtection="1">
      <alignment horizontal="center" vertical="center" wrapText="1"/>
    </xf>
    <xf numFmtId="164" fontId="12" fillId="3" borderId="3" xfId="1" applyNumberFormat="1" applyFont="1" applyFill="1" applyBorder="1" applyAlignment="1" applyProtection="1">
      <alignment horizontal="center" vertical="center" wrapText="1"/>
    </xf>
    <xf numFmtId="49" fontId="13" fillId="0" borderId="3" xfId="0" applyNumberFormat="1" applyFont="1" applyFill="1" applyBorder="1" applyAlignment="1" applyProtection="1">
      <alignment horizontal="left" wrapText="1"/>
    </xf>
    <xf numFmtId="49" fontId="14" fillId="0" borderId="3" xfId="0" applyNumberFormat="1" applyFont="1" applyFill="1" applyBorder="1" applyAlignment="1" applyProtection="1">
      <alignment horizontal="justify" wrapText="1"/>
    </xf>
    <xf numFmtId="3" fontId="14" fillId="0" borderId="3" xfId="0" applyNumberFormat="1" applyFont="1" applyFill="1" applyBorder="1" applyAlignment="1" applyProtection="1">
      <alignment horizontal="center" vertical="center" wrapText="1"/>
    </xf>
    <xf numFmtId="3" fontId="6" fillId="2" borderId="3" xfId="0" applyNumberFormat="1" applyFont="1" applyFill="1" applyBorder="1" applyAlignment="1" applyProtection="1">
      <alignment horizontal="center" vertical="center" wrapText="1"/>
    </xf>
    <xf numFmtId="164" fontId="12" fillId="2" borderId="3" xfId="1" applyNumberFormat="1" applyFont="1" applyFill="1" applyBorder="1" applyAlignment="1" applyProtection="1">
      <alignment horizontal="center" vertical="center" wrapText="1"/>
    </xf>
    <xf numFmtId="49" fontId="15" fillId="0" borderId="3" xfId="0" applyNumberFormat="1" applyFont="1" applyFill="1" applyBorder="1" applyAlignment="1" applyProtection="1">
      <alignment horizontal="left" wrapText="1"/>
    </xf>
    <xf numFmtId="49" fontId="16" fillId="0" borderId="3" xfId="0" applyNumberFormat="1" applyFont="1" applyFill="1" applyBorder="1" applyAlignment="1" applyProtection="1">
      <alignment horizontal="justify" wrapText="1"/>
    </xf>
    <xf numFmtId="3" fontId="16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17" fillId="2" borderId="3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3" xfId="0" applyNumberFormat="1" applyFont="1" applyFill="1" applyBorder="1" applyAlignment="1" applyProtection="1">
      <alignment horizontal="left" wrapText="1"/>
    </xf>
    <xf numFmtId="49" fontId="18" fillId="0" borderId="3" xfId="0" applyNumberFormat="1" applyFont="1" applyFill="1" applyBorder="1" applyAlignment="1" applyProtection="1">
      <alignment horizontal="justify" wrapText="1"/>
    </xf>
    <xf numFmtId="3" fontId="18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3" xfId="0" applyNumberFormat="1" applyFont="1" applyFill="1" applyBorder="1" applyAlignment="1" applyProtection="1">
      <alignment horizontal="center" vertical="center" wrapText="1"/>
    </xf>
    <xf numFmtId="3" fontId="18" fillId="2" borderId="3" xfId="0" applyNumberFormat="1" applyFont="1" applyFill="1" applyBorder="1" applyAlignment="1" applyProtection="1">
      <alignment horizontal="center" vertical="center" wrapText="1"/>
    </xf>
    <xf numFmtId="3" fontId="16" fillId="0" borderId="3" xfId="0" applyNumberFormat="1" applyFont="1" applyFill="1" applyBorder="1" applyAlignment="1" applyProtection="1">
      <alignment horizontal="center" vertical="center" wrapText="1"/>
    </xf>
    <xf numFmtId="3" fontId="14" fillId="2" borderId="3" xfId="0" applyNumberFormat="1" applyFont="1" applyFill="1" applyBorder="1" applyAlignment="1" applyProtection="1">
      <alignment horizontal="center" vertical="center" wrapText="1"/>
    </xf>
    <xf numFmtId="164" fontId="17" fillId="2" borderId="3" xfId="1" applyNumberFormat="1" applyFont="1" applyFill="1" applyBorder="1" applyAlignment="1" applyProtection="1">
      <alignment horizontal="center" vertical="center" wrapText="1"/>
    </xf>
    <xf numFmtId="49" fontId="18" fillId="0" borderId="3" xfId="0" applyNumberFormat="1" applyFont="1" applyFill="1" applyBorder="1" applyAlignment="1" applyProtection="1">
      <alignment horizontal="justify" vertical="center" wrapText="1"/>
    </xf>
    <xf numFmtId="49" fontId="19" fillId="0" borderId="3" xfId="0" applyNumberFormat="1" applyFont="1" applyFill="1" applyBorder="1" applyAlignment="1" applyProtection="1">
      <alignment horizontal="left" wrapText="1"/>
    </xf>
    <xf numFmtId="49" fontId="19" fillId="2" borderId="3" xfId="0" applyNumberFormat="1" applyFont="1" applyFill="1" applyBorder="1" applyAlignment="1" applyProtection="1">
      <alignment horizontal="justify" wrapText="1"/>
    </xf>
    <xf numFmtId="3" fontId="19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0" fillId="2" borderId="3" xfId="0" applyNumberFormat="1" applyFont="1" applyFill="1" applyBorder="1" applyAlignment="1" applyProtection="1">
      <alignment horizontal="center" vertical="center" wrapText="1"/>
    </xf>
    <xf numFmtId="164" fontId="21" fillId="2" borderId="3" xfId="1" applyNumberFormat="1" applyFont="1" applyFill="1" applyBorder="1" applyAlignment="1" applyProtection="1">
      <alignment horizontal="center" vertical="center" wrapText="1"/>
    </xf>
    <xf numFmtId="49" fontId="22" fillId="0" borderId="3" xfId="0" applyNumberFormat="1" applyFont="1" applyFill="1" applyBorder="1" applyAlignment="1" applyProtection="1">
      <alignment horizontal="left" wrapText="1"/>
    </xf>
    <xf numFmtId="3" fontId="6" fillId="0" borderId="3" xfId="0" applyNumberFormat="1" applyFont="1" applyFill="1" applyBorder="1" applyAlignment="1" applyProtection="1">
      <alignment horizontal="center" vertical="center" wrapText="1"/>
    </xf>
    <xf numFmtId="3" fontId="13" fillId="2" borderId="3" xfId="0" applyNumberFormat="1" applyFont="1" applyFill="1" applyBorder="1" applyAlignment="1" applyProtection="1">
      <alignment horizontal="left" wrapText="1"/>
    </xf>
    <xf numFmtId="49" fontId="6" fillId="2" borderId="3" xfId="0" applyNumberFormat="1" applyFont="1" applyFill="1" applyBorder="1" applyAlignment="1" applyProtection="1">
      <alignment horizontal="justify" wrapText="1"/>
    </xf>
    <xf numFmtId="3" fontId="13" fillId="4" borderId="3" xfId="0" applyNumberFormat="1" applyFont="1" applyFill="1" applyBorder="1" applyAlignment="1" applyProtection="1">
      <alignment horizontal="left" wrapText="1"/>
    </xf>
    <xf numFmtId="49" fontId="23" fillId="4" borderId="3" xfId="0" applyNumberFormat="1" applyFont="1" applyFill="1" applyBorder="1" applyAlignment="1" applyProtection="1">
      <alignment horizontal="justify" wrapText="1"/>
    </xf>
    <xf numFmtId="3" fontId="7" fillId="4" borderId="3" xfId="0" applyNumberFormat="1" applyFont="1" applyFill="1" applyBorder="1" applyAlignment="1" applyProtection="1">
      <alignment horizontal="center" vertical="center" wrapText="1"/>
    </xf>
    <xf numFmtId="3" fontId="6" fillId="4" borderId="3" xfId="0" applyNumberFormat="1" applyFont="1" applyFill="1" applyBorder="1" applyAlignment="1" applyProtection="1">
      <alignment horizontal="center" vertical="center" wrapText="1"/>
    </xf>
    <xf numFmtId="164" fontId="12" fillId="4" borderId="3" xfId="1" applyNumberFormat="1" applyFont="1" applyFill="1" applyBorder="1" applyAlignment="1" applyProtection="1">
      <alignment horizontal="center" vertical="center" wrapText="1"/>
    </xf>
    <xf numFmtId="3" fontId="13" fillId="5" borderId="3" xfId="0" applyNumberFormat="1" applyFont="1" applyFill="1" applyBorder="1" applyAlignment="1" applyProtection="1">
      <alignment horizontal="left" wrapText="1"/>
    </xf>
    <xf numFmtId="49" fontId="23" fillId="0" borderId="3" xfId="0" applyNumberFormat="1" applyFont="1" applyFill="1" applyBorder="1" applyAlignment="1" applyProtection="1">
      <alignment horizontal="center" wrapText="1"/>
    </xf>
    <xf numFmtId="3" fontId="7" fillId="0" borderId="3" xfId="0" applyNumberFormat="1" applyFont="1" applyFill="1" applyBorder="1" applyAlignment="1" applyProtection="1">
      <alignment horizontal="center" vertical="center" wrapText="1"/>
    </xf>
    <xf numFmtId="164" fontId="12" fillId="0" borderId="3" xfId="1" applyNumberFormat="1" applyFont="1" applyFill="1" applyBorder="1" applyAlignment="1" applyProtection="1">
      <alignment horizontal="center" vertical="center" wrapText="1"/>
    </xf>
    <xf numFmtId="49" fontId="2" fillId="5" borderId="3" xfId="0" applyNumberFormat="1" applyFont="1" applyFill="1" applyBorder="1" applyAlignment="1" applyProtection="1">
      <alignment horizontal="left" wrapText="1"/>
    </xf>
    <xf numFmtId="49" fontId="19" fillId="5" borderId="3" xfId="0" applyNumberFormat="1" applyFont="1" applyFill="1" applyBorder="1" applyAlignment="1" applyProtection="1">
      <alignment horizontal="left" wrapText="1"/>
    </xf>
    <xf numFmtId="49" fontId="19" fillId="0" borderId="3" xfId="0" applyNumberFormat="1" applyFont="1" applyFill="1" applyBorder="1" applyAlignment="1" applyProtection="1">
      <alignment horizontal="justify" vertical="center" wrapText="1"/>
    </xf>
    <xf numFmtId="3" fontId="20" fillId="0" borderId="3" xfId="0" applyNumberFormat="1" applyFont="1" applyFill="1" applyBorder="1" applyAlignment="1" applyProtection="1">
      <alignment horizontal="center" vertical="center" wrapText="1"/>
    </xf>
    <xf numFmtId="164" fontId="21" fillId="0" borderId="3" xfId="1" applyNumberFormat="1" applyFont="1" applyFill="1" applyBorder="1" applyAlignment="1" applyProtection="1">
      <alignment horizontal="center" vertical="center" wrapText="1"/>
    </xf>
    <xf numFmtId="49" fontId="23" fillId="6" borderId="3" xfId="0" applyNumberFormat="1" applyFont="1" applyFill="1" applyBorder="1" applyAlignment="1" applyProtection="1">
      <alignment horizontal="justify" vertical="center" wrapText="1"/>
    </xf>
    <xf numFmtId="3" fontId="6" fillId="6" borderId="3" xfId="0" applyNumberFormat="1" applyFont="1" applyFill="1" applyBorder="1" applyAlignment="1" applyProtection="1">
      <alignment horizontal="center" vertical="center" wrapText="1"/>
    </xf>
    <xf numFmtId="3" fontId="7" fillId="6" borderId="3" xfId="0" applyNumberFormat="1" applyFont="1" applyFill="1" applyBorder="1" applyAlignment="1" applyProtection="1">
      <alignment horizontal="center" vertical="center" wrapText="1"/>
    </xf>
    <xf numFmtId="164" fontId="8" fillId="6" borderId="3" xfId="1" applyNumberFormat="1" applyFont="1" applyFill="1" applyBorder="1" applyAlignment="1" applyProtection="1">
      <alignment horizontal="center" vertical="center" wrapText="1"/>
    </xf>
    <xf numFmtId="164" fontId="12" fillId="6" borderId="3" xfId="1" applyNumberFormat="1" applyFont="1" applyFill="1" applyBorder="1" applyAlignment="1" applyProtection="1">
      <alignment horizontal="center" vertical="center" wrapText="1"/>
    </xf>
    <xf numFmtId="49" fontId="16" fillId="6" borderId="3" xfId="0" applyNumberFormat="1" applyFont="1" applyFill="1" applyBorder="1" applyAlignment="1" applyProtection="1">
      <alignment horizontal="justify" vertical="center" wrapText="1"/>
    </xf>
    <xf numFmtId="3" fontId="16" fillId="6" borderId="3" xfId="0" applyNumberFormat="1" applyFont="1" applyFill="1" applyBorder="1" applyAlignment="1" applyProtection="1">
      <alignment horizontal="center" vertical="center" wrapText="1"/>
      <protection locked="0"/>
    </xf>
    <xf numFmtId="3" fontId="14" fillId="6" borderId="3" xfId="0" applyNumberFormat="1" applyFont="1" applyFill="1" applyBorder="1" applyAlignment="1" applyProtection="1">
      <alignment horizontal="center" vertical="center" wrapText="1"/>
    </xf>
    <xf numFmtId="164" fontId="17" fillId="6" borderId="3" xfId="1" applyNumberFormat="1" applyFont="1" applyFill="1" applyBorder="1" applyAlignment="1" applyProtection="1">
      <alignment horizontal="center" vertical="center" wrapText="1"/>
    </xf>
    <xf numFmtId="49" fontId="23" fillId="0" borderId="3" xfId="0" applyNumberFormat="1" applyFont="1" applyFill="1" applyBorder="1" applyAlignment="1" applyProtection="1">
      <alignment horizontal="center" vertical="center" wrapText="1"/>
    </xf>
    <xf numFmtId="3" fontId="25" fillId="3" borderId="3" xfId="0" applyNumberFormat="1" applyFont="1" applyFill="1" applyBorder="1" applyAlignment="1" applyProtection="1">
      <alignment horizontal="left" wrapText="1"/>
    </xf>
    <xf numFmtId="3" fontId="7" fillId="3" borderId="3" xfId="0" applyNumberFormat="1" applyFont="1" applyFill="1" applyBorder="1" applyAlignment="1" applyProtection="1">
      <alignment horizontal="center" vertical="center" wrapText="1"/>
    </xf>
    <xf numFmtId="49" fontId="26" fillId="2" borderId="3" xfId="0" applyNumberFormat="1" applyFont="1" applyFill="1" applyBorder="1" applyAlignment="1" applyProtection="1">
      <alignment horizontal="justify" wrapText="1"/>
    </xf>
    <xf numFmtId="3" fontId="7" fillId="2" borderId="3" xfId="0" applyNumberFormat="1" applyFont="1" applyFill="1" applyBorder="1" applyAlignment="1" applyProtection="1">
      <alignment horizontal="center" vertical="center" wrapText="1"/>
    </xf>
    <xf numFmtId="3" fontId="29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30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27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3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0" applyNumberFormat="1" applyFont="1" applyFill="1" applyBorder="1" applyAlignment="1" applyProtection="1">
      <alignment horizontal="justify" wrapText="1"/>
    </xf>
    <xf numFmtId="0" fontId="18" fillId="0" borderId="3" xfId="0" applyNumberFormat="1" applyFont="1" applyFill="1" applyBorder="1" applyAlignment="1" applyProtection="1">
      <alignment horizontal="justify" vertical="center" wrapText="1"/>
    </xf>
    <xf numFmtId="3" fontId="13" fillId="0" borderId="3" xfId="0" applyNumberFormat="1" applyFont="1" applyFill="1" applyBorder="1" applyAlignment="1" applyProtection="1">
      <alignment horizontal="left" wrapText="1"/>
    </xf>
    <xf numFmtId="49" fontId="6" fillId="0" borderId="3" xfId="0" applyNumberFormat="1" applyFont="1" applyFill="1" applyBorder="1" applyAlignment="1" applyProtection="1">
      <alignment horizontal="justify" vertical="center" wrapText="1"/>
    </xf>
    <xf numFmtId="3" fontId="34" fillId="0" borderId="3" xfId="0" applyNumberFormat="1" applyFont="1" applyFill="1" applyBorder="1" applyAlignment="1" applyProtection="1">
      <alignment horizontal="left" wrapText="1"/>
    </xf>
    <xf numFmtId="3" fontId="35" fillId="0" borderId="3" xfId="0" applyNumberFormat="1" applyFont="1" applyFill="1" applyBorder="1" applyAlignment="1" applyProtection="1">
      <alignment horizontal="left" wrapText="1"/>
    </xf>
    <xf numFmtId="0" fontId="6" fillId="0" borderId="3" xfId="0" applyFont="1" applyFill="1" applyBorder="1" applyAlignment="1" applyProtection="1">
      <alignment horizontal="justify" wrapText="1"/>
    </xf>
    <xf numFmtId="0" fontId="2" fillId="0" borderId="3" xfId="0" applyFont="1" applyFill="1" applyBorder="1" applyAlignment="1" applyProtection="1">
      <alignment horizontal="left" wrapText="1"/>
    </xf>
    <xf numFmtId="3" fontId="36" fillId="0" borderId="3" xfId="0" applyNumberFormat="1" applyFont="1" applyFill="1" applyBorder="1" applyAlignment="1" applyProtection="1">
      <alignment horizontal="justify" vertical="center" wrapText="1"/>
    </xf>
    <xf numFmtId="3" fontId="36" fillId="0" borderId="6" xfId="0" applyNumberFormat="1" applyFont="1" applyFill="1" applyBorder="1" applyAlignment="1" applyProtection="1">
      <alignment horizontal="justify" vertical="center" wrapText="1"/>
    </xf>
    <xf numFmtId="0" fontId="3" fillId="0" borderId="6" xfId="0" applyNumberFormat="1" applyFont="1" applyFill="1" applyBorder="1" applyAlignment="1" applyProtection="1">
      <alignment horizontal="justify" wrapText="1"/>
    </xf>
    <xf numFmtId="0" fontId="6" fillId="0" borderId="6" xfId="0" applyNumberFormat="1" applyFont="1" applyFill="1" applyBorder="1" applyAlignment="1" applyProtection="1">
      <alignment horizontal="justify" wrapText="1"/>
    </xf>
    <xf numFmtId="49" fontId="19" fillId="0" borderId="3" xfId="0" applyNumberFormat="1" applyFont="1" applyFill="1" applyBorder="1" applyAlignment="1" applyProtection="1">
      <alignment horizontal="justify" wrapText="1"/>
    </xf>
    <xf numFmtId="0" fontId="18" fillId="0" borderId="6" xfId="0" applyNumberFormat="1" applyFont="1" applyFill="1" applyBorder="1" applyAlignment="1" applyProtection="1">
      <alignment horizontal="justify" wrapText="1"/>
    </xf>
    <xf numFmtId="0" fontId="18" fillId="2" borderId="6" xfId="0" applyNumberFormat="1" applyFont="1" applyFill="1" applyBorder="1" applyAlignment="1" applyProtection="1">
      <alignment horizontal="justify" vertical="center" wrapText="1"/>
    </xf>
    <xf numFmtId="0" fontId="18" fillId="0" borderId="6" xfId="0" applyNumberFormat="1" applyFont="1" applyFill="1" applyBorder="1" applyAlignment="1" applyProtection="1">
      <alignment horizontal="justify" vertical="center" wrapText="1"/>
    </xf>
    <xf numFmtId="49" fontId="13" fillId="7" borderId="3" xfId="0" applyNumberFormat="1" applyFont="1" applyFill="1" applyBorder="1" applyAlignment="1" applyProtection="1">
      <alignment horizontal="left" wrapText="1"/>
      <protection locked="0"/>
    </xf>
    <xf numFmtId="164" fontId="6" fillId="7" borderId="3" xfId="1" applyNumberFormat="1" applyFont="1" applyFill="1" applyBorder="1" applyAlignment="1" applyProtection="1">
      <alignment horizontal="center" vertical="center" wrapText="1"/>
      <protection locked="0"/>
    </xf>
    <xf numFmtId="164" fontId="18" fillId="7" borderId="3" xfId="1" applyNumberFormat="1" applyFont="1" applyFill="1" applyBorder="1" applyAlignment="1" applyProtection="1">
      <alignment horizontal="center" vertical="center" wrapText="1"/>
      <protection locked="0"/>
    </xf>
    <xf numFmtId="0" fontId="37" fillId="0" borderId="0" xfId="0" applyFont="1" applyProtection="1">
      <protection locked="0"/>
    </xf>
    <xf numFmtId="0" fontId="37" fillId="0" borderId="0" xfId="0" applyNumberFormat="1" applyFont="1" applyFill="1" applyBorder="1" applyAlignment="1" applyProtection="1">
      <alignment wrapText="1"/>
      <protection locked="0"/>
    </xf>
    <xf numFmtId="0" fontId="37" fillId="2" borderId="0" xfId="0" applyNumberFormat="1" applyFont="1" applyFill="1" applyBorder="1" applyAlignment="1" applyProtection="1">
      <alignment wrapText="1"/>
      <protection locked="0"/>
    </xf>
    <xf numFmtId="0" fontId="38" fillId="0" borderId="0" xfId="0" applyNumberFormat="1" applyFont="1" applyFill="1" applyBorder="1" applyAlignment="1" applyProtection="1">
      <alignment wrapText="1"/>
      <protection locked="0"/>
    </xf>
    <xf numFmtId="3" fontId="39" fillId="0" borderId="0" xfId="0" applyNumberFormat="1" applyFont="1" applyFill="1" applyBorder="1" applyAlignment="1" applyProtection="1">
      <alignment wrapText="1"/>
      <protection locked="0"/>
    </xf>
    <xf numFmtId="0" fontId="39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wrapText="1"/>
      <protection locked="0"/>
    </xf>
    <xf numFmtId="164" fontId="5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horizontal="center" wrapText="1"/>
      <protection locked="0"/>
    </xf>
    <xf numFmtId="164" fontId="3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NumberFormat="1" applyFont="1" applyFill="1" applyBorder="1" applyAlignment="1" applyProtection="1">
      <alignment wrapText="1"/>
      <protection locked="0"/>
    </xf>
    <xf numFmtId="0" fontId="3" fillId="2" borderId="0" xfId="0" applyNumberFormat="1" applyFont="1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49" fontId="18" fillId="0" borderId="0" xfId="0" applyNumberFormat="1" applyFont="1" applyFill="1" applyBorder="1" applyAlignment="1" applyProtection="1">
      <alignment horizontal="justify" vertical="center" wrapText="1"/>
      <protection locked="0"/>
    </xf>
    <xf numFmtId="3" fontId="18" fillId="0" borderId="0" xfId="0" applyNumberFormat="1" applyFont="1" applyFill="1" applyBorder="1" applyAlignment="1" applyProtection="1">
      <alignment wrapText="1"/>
      <protection locked="0"/>
    </xf>
    <xf numFmtId="3" fontId="6" fillId="0" borderId="0" xfId="0" applyNumberFormat="1" applyFont="1" applyFill="1" applyBorder="1" applyAlignment="1" applyProtection="1">
      <alignment wrapText="1"/>
      <protection locked="0"/>
    </xf>
    <xf numFmtId="164" fontId="12" fillId="0" borderId="0" xfId="1" applyNumberFormat="1" applyFont="1" applyFill="1" applyBorder="1" applyAlignment="1" applyProtection="1">
      <alignment horizontal="center" vertical="center" wrapText="1"/>
      <protection locked="0"/>
    </xf>
    <xf numFmtId="49" fontId="27" fillId="0" borderId="3" xfId="0" applyNumberFormat="1" applyFont="1" applyFill="1" applyBorder="1" applyAlignment="1" applyProtection="1">
      <alignment horizontal="left" wrapText="1"/>
      <protection locked="0"/>
    </xf>
    <xf numFmtId="49" fontId="27" fillId="0" borderId="3" xfId="0" applyNumberFormat="1" applyFont="1" applyFill="1" applyBorder="1" applyAlignment="1" applyProtection="1">
      <alignment horizontal="justify" vertical="center" wrapText="1"/>
      <protection locked="0"/>
    </xf>
    <xf numFmtId="0" fontId="6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18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0" fillId="0" borderId="0" xfId="0" applyFill="1"/>
    <xf numFmtId="0" fontId="0" fillId="0" borderId="0" xfId="0" applyProtection="1"/>
    <xf numFmtId="3" fontId="8" fillId="0" borderId="3" xfId="0" applyNumberFormat="1" applyFont="1" applyFill="1" applyBorder="1" applyAlignment="1" applyProtection="1">
      <alignment horizontal="center" vertical="center" wrapText="1"/>
    </xf>
    <xf numFmtId="3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11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4" fillId="6" borderId="3" xfId="0" applyNumberFormat="1" applyFont="1" applyFill="1" applyBorder="1" applyAlignment="1" applyProtection="1">
      <alignment horizontal="center" vertical="center"/>
      <protection locked="0"/>
    </xf>
    <xf numFmtId="3" fontId="11" fillId="0" borderId="3" xfId="0" applyNumberFormat="1" applyFont="1" applyFill="1" applyBorder="1" applyAlignment="1" applyProtection="1">
      <alignment horizontal="center" vertical="center"/>
      <protection locked="0"/>
    </xf>
    <xf numFmtId="3" fontId="29" fillId="0" borderId="3" xfId="0" applyNumberFormat="1" applyFont="1" applyFill="1" applyBorder="1" applyAlignment="1" applyProtection="1">
      <alignment horizontal="center" vertical="center"/>
      <protection locked="0"/>
    </xf>
    <xf numFmtId="3" fontId="7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32" fillId="0" borderId="3" xfId="0" applyNumberFormat="1" applyFont="1" applyFill="1" applyBorder="1" applyAlignment="1" applyProtection="1">
      <alignment horizontal="center" vertical="center" wrapText="1"/>
    </xf>
    <xf numFmtId="3" fontId="33" fillId="0" borderId="3" xfId="0" applyNumberFormat="1" applyFont="1" applyFill="1" applyBorder="1" applyAlignment="1" applyProtection="1">
      <alignment horizontal="center" vertical="center" wrapText="1"/>
    </xf>
    <xf numFmtId="3" fontId="6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33" fillId="2" borderId="3" xfId="0" applyNumberFormat="1" applyFont="1" applyFill="1" applyBorder="1" applyAlignment="1" applyProtection="1">
      <alignment horizontal="center" vertical="center" wrapText="1"/>
    </xf>
    <xf numFmtId="3" fontId="12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3" xfId="0" applyNumberFormat="1" applyFont="1" applyFill="1" applyBorder="1" applyAlignment="1" applyProtection="1">
      <alignment horizontal="center" vertical="center" wrapText="1"/>
    </xf>
    <xf numFmtId="3" fontId="18" fillId="0" borderId="3" xfId="0" applyNumberFormat="1" applyFont="1" applyBorder="1" applyAlignment="1" applyProtection="1">
      <alignment horizontal="center" vertical="center" wrapText="1"/>
    </xf>
    <xf numFmtId="3" fontId="0" fillId="2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3" fontId="0" fillId="0" borderId="3" xfId="0" applyNumberFormat="1" applyFont="1" applyBorder="1" applyAlignment="1" applyProtection="1">
      <alignment horizontal="center" vertical="center" wrapText="1"/>
      <protection locked="0"/>
    </xf>
    <xf numFmtId="3" fontId="0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3" xfId="0" applyNumberFormat="1" applyFont="1" applyFill="1" applyBorder="1" applyAlignment="1" applyProtection="1">
      <alignment horizontal="center" vertical="center"/>
      <protection locked="0"/>
    </xf>
    <xf numFmtId="3" fontId="3" fillId="0" borderId="3" xfId="0" applyNumberFormat="1" applyFont="1" applyFill="1" applyBorder="1" applyAlignment="1" applyProtection="1">
      <alignment horizontal="center" vertical="center" wrapText="1"/>
    </xf>
    <xf numFmtId="164" fontId="18" fillId="0" borderId="3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Fill="1" applyBorder="1" applyAlignment="1" applyProtection="1">
      <alignment horizontal="center" vertical="center" wrapText="1"/>
    </xf>
    <xf numFmtId="3" fontId="6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7" borderId="3" xfId="0" applyNumberFormat="1" applyFont="1" applyFill="1" applyBorder="1" applyAlignment="1" applyProtection="1">
      <alignment horizontal="center" vertical="center" wrapText="1"/>
      <protection locked="0"/>
    </xf>
    <xf numFmtId="49" fontId="41" fillId="0" borderId="3" xfId="0" applyNumberFormat="1" applyFont="1" applyFill="1" applyBorder="1" applyAlignment="1" applyProtection="1">
      <alignment horizontal="justify" wrapText="1"/>
    </xf>
    <xf numFmtId="3" fontId="6" fillId="7" borderId="3" xfId="0" applyNumberFormat="1" applyFont="1" applyFill="1" applyBorder="1" applyAlignment="1" applyProtection="1">
      <alignment vertical="center" wrapText="1"/>
      <protection locked="0"/>
    </xf>
    <xf numFmtId="3" fontId="6" fillId="7" borderId="3" xfId="0" applyNumberFormat="1" applyFont="1" applyFill="1" applyBorder="1" applyAlignment="1" applyProtection="1">
      <alignment wrapText="1"/>
      <protection locked="0"/>
    </xf>
    <xf numFmtId="3" fontId="18" fillId="7" borderId="3" xfId="0" applyNumberFormat="1" applyFont="1" applyFill="1" applyBorder="1" applyAlignment="1" applyProtection="1">
      <alignment wrapText="1"/>
      <protection locked="0"/>
    </xf>
    <xf numFmtId="3" fontId="18" fillId="0" borderId="3" xfId="0" applyNumberFormat="1" applyFont="1" applyFill="1" applyBorder="1" applyAlignment="1" applyProtection="1">
      <alignment vertical="center" wrapText="1"/>
      <protection locked="0"/>
    </xf>
    <xf numFmtId="3" fontId="11" fillId="0" borderId="3" xfId="0" applyNumberFormat="1" applyFont="1" applyFill="1" applyBorder="1" applyAlignment="1" applyProtection="1">
      <alignment vertical="center" wrapText="1"/>
      <protection locked="0"/>
    </xf>
    <xf numFmtId="3" fontId="42" fillId="0" borderId="3" xfId="0" applyNumberFormat="1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3" fontId="8" fillId="0" borderId="3" xfId="0" applyNumberFormat="1" applyFont="1" applyFill="1" applyBorder="1" applyAlignment="1" applyProtection="1">
      <alignment horizontal="center" vertical="center" wrapText="1"/>
    </xf>
    <xf numFmtId="164" fontId="9" fillId="0" borderId="3" xfId="0" applyNumberFormat="1" applyFont="1" applyFill="1" applyBorder="1" applyAlignment="1" applyProtection="1">
      <alignment horizontal="center" vertical="center" wrapText="1"/>
    </xf>
    <xf numFmtId="3" fontId="8" fillId="0" borderId="2" xfId="0" applyNumberFormat="1" applyFont="1" applyFill="1" applyBorder="1" applyAlignment="1" applyProtection="1">
      <alignment horizontal="center" vertical="center" wrapText="1"/>
    </xf>
    <xf numFmtId="3" fontId="8" fillId="0" borderId="11" xfId="0" applyNumberFormat="1" applyFont="1" applyFill="1" applyBorder="1" applyAlignment="1" applyProtection="1">
      <alignment horizontal="center" vertical="center" wrapText="1"/>
    </xf>
    <xf numFmtId="164" fontId="10" fillId="0" borderId="3" xfId="0" applyNumberFormat="1" applyFont="1" applyFill="1" applyBorder="1" applyProtection="1"/>
    <xf numFmtId="3" fontId="8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8" xfId="0" applyNumberFormat="1" applyFont="1" applyFill="1" applyBorder="1" applyAlignment="1" applyProtection="1">
      <alignment horizontal="center" vertical="center" wrapText="1"/>
    </xf>
    <xf numFmtId="3" fontId="8" fillId="0" borderId="9" xfId="0" applyNumberFormat="1" applyFont="1" applyFill="1" applyBorder="1" applyAlignment="1" applyProtection="1">
      <alignment horizontal="center" vertical="center" wrapText="1"/>
    </xf>
    <xf numFmtId="3" fontId="8" fillId="0" borderId="10" xfId="0" applyNumberFormat="1" applyFont="1" applyFill="1" applyBorder="1" applyAlignment="1" applyProtection="1">
      <alignment horizontal="center" vertical="center" wrapText="1"/>
    </xf>
    <xf numFmtId="3" fontId="8" fillId="0" borderId="4" xfId="0" applyNumberFormat="1" applyFont="1" applyFill="1" applyBorder="1" applyAlignment="1" applyProtection="1">
      <alignment horizontal="center" vertical="center" wrapText="1"/>
    </xf>
    <xf numFmtId="3" fontId="8" fillId="0" borderId="6" xfId="0" applyNumberFormat="1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00"/>
  <sheetViews>
    <sheetView tabSelected="1" view="pageBreakPreview" zoomScale="115" zoomScaleNormal="100" zoomScaleSheetLayoutView="115" workbookViewId="0">
      <pane xSplit="2" ySplit="6" topLeftCell="P124" activePane="bottomRight" state="frozen"/>
      <selection pane="topRight" activeCell="C1" sqref="C1"/>
      <selection pane="bottomLeft" activeCell="A7" sqref="A7"/>
      <selection pane="bottomRight" activeCell="V138" sqref="V138"/>
    </sheetView>
  </sheetViews>
  <sheetFormatPr defaultRowHeight="15" x14ac:dyDescent="0.25"/>
  <cols>
    <col min="1" max="1" width="4.7109375" customWidth="1"/>
    <col min="2" max="2" width="39.28515625" customWidth="1"/>
    <col min="3" max="3" width="12.85546875" customWidth="1"/>
    <col min="4" max="4" width="12.42578125" customWidth="1"/>
    <col min="5" max="5" width="14.140625" customWidth="1"/>
    <col min="6" max="17" width="12.42578125" customWidth="1"/>
    <col min="19" max="27" width="11" customWidth="1"/>
  </cols>
  <sheetData>
    <row r="1" spans="1:28" ht="18.75" x14ac:dyDescent="0.25">
      <c r="A1" s="1"/>
      <c r="B1" s="2"/>
      <c r="C1" s="161" t="s">
        <v>231</v>
      </c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3"/>
      <c r="Z1" s="4" t="s">
        <v>0</v>
      </c>
      <c r="AA1" s="3"/>
      <c r="AB1" s="5"/>
    </row>
    <row r="2" spans="1:28" x14ac:dyDescent="0.25">
      <c r="A2" s="162" t="s">
        <v>1</v>
      </c>
      <c r="B2" s="165" t="s">
        <v>2</v>
      </c>
      <c r="C2" s="166" t="s">
        <v>215</v>
      </c>
      <c r="D2" s="167"/>
      <c r="E2" s="167"/>
      <c r="F2" s="167"/>
      <c r="G2" s="167"/>
      <c r="H2" s="167"/>
      <c r="I2" s="167"/>
      <c r="J2" s="167"/>
      <c r="K2" s="168"/>
      <c r="L2" s="166" t="s">
        <v>216</v>
      </c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8"/>
    </row>
    <row r="3" spans="1:28" ht="24" customHeight="1" x14ac:dyDescent="0.25">
      <c r="A3" s="163"/>
      <c r="B3" s="165"/>
      <c r="C3" s="169" t="s">
        <v>3</v>
      </c>
      <c r="D3" s="169"/>
      <c r="E3" s="169"/>
      <c r="F3" s="170" t="s">
        <v>229</v>
      </c>
      <c r="G3" s="170"/>
      <c r="H3" s="170"/>
      <c r="I3" s="171" t="s">
        <v>230</v>
      </c>
      <c r="J3" s="172"/>
      <c r="K3" s="173"/>
      <c r="L3" s="174" t="s">
        <v>4</v>
      </c>
      <c r="M3" s="174"/>
      <c r="N3" s="174"/>
      <c r="O3" s="174" t="s">
        <v>5</v>
      </c>
      <c r="P3" s="174"/>
      <c r="Q3" s="174"/>
      <c r="R3" s="175" t="s">
        <v>211</v>
      </c>
      <c r="S3" s="179" t="s">
        <v>232</v>
      </c>
      <c r="T3" s="180"/>
      <c r="U3" s="181"/>
      <c r="V3" s="179" t="s">
        <v>233</v>
      </c>
      <c r="W3" s="180"/>
      <c r="X3" s="181"/>
      <c r="Y3" s="182" t="s">
        <v>217</v>
      </c>
      <c r="Z3" s="183"/>
      <c r="AA3" s="184"/>
      <c r="AB3" s="175" t="s">
        <v>218</v>
      </c>
    </row>
    <row r="4" spans="1:28" x14ac:dyDescent="0.25">
      <c r="A4" s="163"/>
      <c r="B4" s="165"/>
      <c r="C4" s="169" t="s">
        <v>6</v>
      </c>
      <c r="D4" s="169" t="s">
        <v>7</v>
      </c>
      <c r="E4" s="169"/>
      <c r="F4" s="169" t="s">
        <v>6</v>
      </c>
      <c r="G4" s="169" t="s">
        <v>8</v>
      </c>
      <c r="H4" s="169"/>
      <c r="I4" s="169" t="s">
        <v>6</v>
      </c>
      <c r="J4" s="169" t="s">
        <v>8</v>
      </c>
      <c r="K4" s="169"/>
      <c r="L4" s="187" t="s">
        <v>6</v>
      </c>
      <c r="M4" s="174" t="s">
        <v>7</v>
      </c>
      <c r="N4" s="174"/>
      <c r="O4" s="187" t="s">
        <v>6</v>
      </c>
      <c r="P4" s="174" t="s">
        <v>7</v>
      </c>
      <c r="Q4" s="174"/>
      <c r="R4" s="178"/>
      <c r="S4" s="176" t="s">
        <v>6</v>
      </c>
      <c r="T4" s="185" t="s">
        <v>8</v>
      </c>
      <c r="U4" s="186"/>
      <c r="V4" s="176" t="s">
        <v>6</v>
      </c>
      <c r="W4" s="185" t="s">
        <v>8</v>
      </c>
      <c r="X4" s="186"/>
      <c r="Y4" s="176" t="s">
        <v>6</v>
      </c>
      <c r="Z4" s="185" t="s">
        <v>8</v>
      </c>
      <c r="AA4" s="186"/>
      <c r="AB4" s="175"/>
    </row>
    <row r="5" spans="1:28" ht="38.25" x14ac:dyDescent="0.25">
      <c r="A5" s="164"/>
      <c r="B5" s="165"/>
      <c r="C5" s="169"/>
      <c r="D5" s="6" t="s">
        <v>204</v>
      </c>
      <c r="E5" s="7" t="s">
        <v>9</v>
      </c>
      <c r="F5" s="169"/>
      <c r="G5" s="6" t="s">
        <v>204</v>
      </c>
      <c r="H5" s="8" t="s">
        <v>9</v>
      </c>
      <c r="I5" s="169"/>
      <c r="J5" s="6" t="s">
        <v>204</v>
      </c>
      <c r="K5" s="8" t="s">
        <v>9</v>
      </c>
      <c r="L5" s="187"/>
      <c r="M5" s="9" t="s">
        <v>204</v>
      </c>
      <c r="N5" s="10" t="s">
        <v>9</v>
      </c>
      <c r="O5" s="187"/>
      <c r="P5" s="9" t="s">
        <v>204</v>
      </c>
      <c r="Q5" s="10" t="s">
        <v>9</v>
      </c>
      <c r="R5" s="178"/>
      <c r="S5" s="177"/>
      <c r="T5" s="9" t="s">
        <v>204</v>
      </c>
      <c r="U5" s="10" t="s">
        <v>10</v>
      </c>
      <c r="V5" s="177"/>
      <c r="W5" s="9" t="s">
        <v>204</v>
      </c>
      <c r="X5" s="10" t="s">
        <v>10</v>
      </c>
      <c r="Y5" s="177"/>
      <c r="Z5" s="9" t="s">
        <v>204</v>
      </c>
      <c r="AA5" s="10" t="s">
        <v>10</v>
      </c>
      <c r="AB5" s="175"/>
    </row>
    <row r="6" spans="1:28" x14ac:dyDescent="0.25">
      <c r="A6" s="11" t="s">
        <v>11</v>
      </c>
      <c r="B6" s="12" t="s">
        <v>12</v>
      </c>
      <c r="C6" s="13">
        <f>C7+C38</f>
        <v>3840283.8824300002</v>
      </c>
      <c r="D6" s="13">
        <f>D7+D38</f>
        <v>2308541.6885099998</v>
      </c>
      <c r="E6" s="13">
        <f>C6-D6</f>
        <v>1531742.1939200005</v>
      </c>
      <c r="F6" s="13">
        <f>F7+F38</f>
        <v>587685.17943999998</v>
      </c>
      <c r="G6" s="13">
        <f>G7+G38</f>
        <v>353820.63527000003</v>
      </c>
      <c r="H6" s="13">
        <f>F6-G6</f>
        <v>233864.54416999995</v>
      </c>
      <c r="I6" s="13">
        <f>I7+I38</f>
        <v>426404.97352999996</v>
      </c>
      <c r="J6" s="13">
        <f>J7+J38</f>
        <v>328030.78766999999</v>
      </c>
      <c r="K6" s="13">
        <f>I6-J6</f>
        <v>98374.185859999969</v>
      </c>
      <c r="L6" s="13">
        <f>L7+L38</f>
        <v>3994461.72768</v>
      </c>
      <c r="M6" s="13">
        <f>M7+M38</f>
        <v>2473144.59968</v>
      </c>
      <c r="N6" s="13">
        <f>L6-M6</f>
        <v>1521317.128</v>
      </c>
      <c r="O6" s="13">
        <f>O7+O38</f>
        <v>3994461.72768</v>
      </c>
      <c r="P6" s="13">
        <f>P7+P38</f>
        <v>2473144.59968</v>
      </c>
      <c r="Q6" s="13">
        <f>O6-P6</f>
        <v>1521317.128</v>
      </c>
      <c r="R6" s="14">
        <f>Q6/E6</f>
        <v>0.99319398136228076</v>
      </c>
      <c r="S6" s="13">
        <f>S7+S38</f>
        <v>588157.67165999999</v>
      </c>
      <c r="T6" s="13">
        <f>T7+T38</f>
        <v>298725.20556000003</v>
      </c>
      <c r="U6" s="13">
        <f>S6-T6</f>
        <v>289432.46609999996</v>
      </c>
      <c r="V6" s="13">
        <f>V7+V38</f>
        <v>320028.13107</v>
      </c>
      <c r="W6" s="13">
        <f>W7+W38</f>
        <v>224000.15999999997</v>
      </c>
      <c r="X6" s="13">
        <f>V6-W6</f>
        <v>96027.971070000029</v>
      </c>
      <c r="Y6" s="13">
        <f>Y7+Y38</f>
        <v>3893251.125401</v>
      </c>
      <c r="Z6" s="13">
        <f>Z7+Z38</f>
        <v>2466187.2408400001</v>
      </c>
      <c r="AA6" s="13">
        <f>Y6-Z6</f>
        <v>1427063.8845609999</v>
      </c>
      <c r="AB6" s="14">
        <f>AA6/E6</f>
        <v>0.9316606216277753</v>
      </c>
    </row>
    <row r="7" spans="1:28" x14ac:dyDescent="0.25">
      <c r="A7" s="15" t="s">
        <v>13</v>
      </c>
      <c r="B7" s="16" t="s">
        <v>14</v>
      </c>
      <c r="C7" s="17">
        <f>C8+C22</f>
        <v>1211737.1154500002</v>
      </c>
      <c r="D7" s="17">
        <f>D8+D22</f>
        <v>2528.2227699999999</v>
      </c>
      <c r="E7" s="18">
        <f t="shared" ref="E7:E100" si="0">C7-D7</f>
        <v>1209208.89268</v>
      </c>
      <c r="F7" s="17">
        <f>F8+F22</f>
        <v>229022.53094999999</v>
      </c>
      <c r="G7" s="17">
        <f>G8+G22</f>
        <v>836.54777000000001</v>
      </c>
      <c r="H7" s="18">
        <f t="shared" ref="H7:H50" si="1">F7-G7</f>
        <v>228185.98317999998</v>
      </c>
      <c r="I7" s="17">
        <f>I8+I22</f>
        <v>97176.652039999986</v>
      </c>
      <c r="J7" s="17">
        <f>J8+J22</f>
        <v>0</v>
      </c>
      <c r="K7" s="18">
        <f t="shared" ref="K7:K50" si="2">I7-J7</f>
        <v>97176.652039999986</v>
      </c>
      <c r="L7" s="17">
        <f>L8+L22</f>
        <v>1174194.6299999999</v>
      </c>
      <c r="M7" s="17">
        <f>M8+M22</f>
        <v>0</v>
      </c>
      <c r="N7" s="18">
        <f t="shared" ref="N7:N50" si="3">L7-M7</f>
        <v>1174194.6299999999</v>
      </c>
      <c r="O7" s="17">
        <f>O8+O22</f>
        <v>1174194.6299999999</v>
      </c>
      <c r="P7" s="17">
        <f>P8+P22</f>
        <v>0</v>
      </c>
      <c r="Q7" s="18">
        <f t="shared" ref="Q7:Q50" si="4">O7-P7</f>
        <v>1174194.6299999999</v>
      </c>
      <c r="R7" s="19">
        <f>Q7/E7</f>
        <v>0.97104366094893901</v>
      </c>
      <c r="S7" s="17">
        <f>S8+S22</f>
        <v>286558.84979000001</v>
      </c>
      <c r="T7" s="17">
        <f>T8+T22</f>
        <v>0</v>
      </c>
      <c r="U7" s="18">
        <f t="shared" ref="U7:U50" si="5">S7-T7</f>
        <v>286558.84979000001</v>
      </c>
      <c r="V7" s="17">
        <f>V8+V22</f>
        <v>46027.971070000007</v>
      </c>
      <c r="W7" s="17">
        <f>W8+W22</f>
        <v>0</v>
      </c>
      <c r="X7" s="18">
        <f t="shared" ref="X7:X50" si="6">V7-W7</f>
        <v>46027.971070000007</v>
      </c>
      <c r="Y7" s="17">
        <f>Y8+Y22</f>
        <v>1076868.429941</v>
      </c>
      <c r="Z7" s="17">
        <f>Z8+Z22</f>
        <v>-199.34030999999999</v>
      </c>
      <c r="AA7" s="18">
        <f t="shared" ref="AA7:AA50" si="7">Y7-Z7</f>
        <v>1077067.7702510001</v>
      </c>
      <c r="AB7" s="19">
        <f t="shared" ref="AB7:AB100" si="8">AA7/E7</f>
        <v>0.89072101335929454</v>
      </c>
    </row>
    <row r="8" spans="1:28" ht="24.75" customHeight="1" x14ac:dyDescent="0.25">
      <c r="A8" s="20" t="s">
        <v>15</v>
      </c>
      <c r="B8" s="21" t="s">
        <v>16</v>
      </c>
      <c r="C8" s="22">
        <f>C10+C11+C12+C18+C19+C20+C21+C17</f>
        <v>966497.87342000008</v>
      </c>
      <c r="D8" s="22"/>
      <c r="E8" s="18">
        <f>C8-D8</f>
        <v>966497.87342000008</v>
      </c>
      <c r="F8" s="22">
        <f>F10+F11+F12+F18+F19+F20+F21+F17</f>
        <v>167080.91435000001</v>
      </c>
      <c r="G8" s="22"/>
      <c r="H8" s="18">
        <f t="shared" si="1"/>
        <v>167080.91435000001</v>
      </c>
      <c r="I8" s="22">
        <f>I10+I11+I12+I18+I19+I20+I21+I17</f>
        <v>70013.89327</v>
      </c>
      <c r="J8" s="22"/>
      <c r="K8" s="18">
        <f t="shared" si="2"/>
        <v>70013.89327</v>
      </c>
      <c r="L8" s="22">
        <f>L10+L11+L12+L18+L19+L20+L21+L17</f>
        <v>986775.13</v>
      </c>
      <c r="M8" s="22"/>
      <c r="N8" s="18">
        <f t="shared" si="3"/>
        <v>986775.13</v>
      </c>
      <c r="O8" s="22">
        <f>O10+O11+O12+O18+O19+O20+O21+O17</f>
        <v>986775.13</v>
      </c>
      <c r="P8" s="22"/>
      <c r="Q8" s="18">
        <f t="shared" si="4"/>
        <v>986775.13</v>
      </c>
      <c r="R8" s="23">
        <f t="shared" ref="R8:R51" si="9">Q8/E8</f>
        <v>1.0209801357433388</v>
      </c>
      <c r="S8" s="29">
        <f>S10+S11+S12+S18+S19+S20+S21+S17</f>
        <v>156540.56200000001</v>
      </c>
      <c r="T8" s="22"/>
      <c r="U8" s="18">
        <f t="shared" si="5"/>
        <v>156540.56200000001</v>
      </c>
      <c r="V8" s="22">
        <f>V10+V11+V12+V18+V19+V20+V21+V17</f>
        <v>42121.210560000007</v>
      </c>
      <c r="W8" s="22"/>
      <c r="X8" s="18">
        <f t="shared" si="6"/>
        <v>42121.210560000007</v>
      </c>
      <c r="Y8" s="22">
        <f>Y10+Y11+Y12+Y18+Y19+Y20+Y21+Y17</f>
        <v>898095.77498999995</v>
      </c>
      <c r="Z8" s="22"/>
      <c r="AA8" s="18">
        <f t="shared" si="7"/>
        <v>898095.77498999995</v>
      </c>
      <c r="AB8" s="23">
        <f t="shared" si="8"/>
        <v>0.92922685055896093</v>
      </c>
    </row>
    <row r="9" spans="1:28" x14ac:dyDescent="0.25">
      <c r="A9" s="24"/>
      <c r="B9" s="25" t="s">
        <v>17</v>
      </c>
      <c r="C9" s="26"/>
      <c r="D9" s="26"/>
      <c r="E9" s="18"/>
      <c r="F9" s="26"/>
      <c r="G9" s="26"/>
      <c r="H9" s="18"/>
      <c r="I9" s="26"/>
      <c r="J9" s="26"/>
      <c r="K9" s="18"/>
      <c r="L9" s="26"/>
      <c r="M9" s="26"/>
      <c r="N9" s="18"/>
      <c r="O9" s="26"/>
      <c r="P9" s="26"/>
      <c r="Q9" s="18"/>
      <c r="R9" s="19"/>
      <c r="S9" s="26"/>
      <c r="T9" s="26"/>
      <c r="U9" s="18"/>
      <c r="V9" s="26"/>
      <c r="W9" s="26"/>
      <c r="X9" s="18"/>
      <c r="Y9" s="26"/>
      <c r="Z9" s="26"/>
      <c r="AA9" s="18"/>
      <c r="AB9" s="19"/>
    </row>
    <row r="10" spans="1:28" x14ac:dyDescent="0.25">
      <c r="A10" s="24" t="s">
        <v>18</v>
      </c>
      <c r="B10" s="25" t="s">
        <v>19</v>
      </c>
      <c r="C10" s="26">
        <v>757573.18613000005</v>
      </c>
      <c r="D10" s="26"/>
      <c r="E10" s="18">
        <f t="shared" si="0"/>
        <v>757573.18613000005</v>
      </c>
      <c r="F10" s="26">
        <v>149820.02426000001</v>
      </c>
      <c r="G10" s="26"/>
      <c r="H10" s="18">
        <f t="shared" si="1"/>
        <v>149820.02426000001</v>
      </c>
      <c r="I10" s="26">
        <f>208276.75742-F10</f>
        <v>58456.733160000003</v>
      </c>
      <c r="J10" s="26"/>
      <c r="K10" s="18">
        <f t="shared" si="2"/>
        <v>58456.733160000003</v>
      </c>
      <c r="L10" s="26">
        <v>754773.2</v>
      </c>
      <c r="M10" s="26"/>
      <c r="N10" s="18">
        <f t="shared" si="3"/>
        <v>754773.2</v>
      </c>
      <c r="O10" s="26">
        <f>L10</f>
        <v>754773.2</v>
      </c>
      <c r="P10" s="26"/>
      <c r="Q10" s="18">
        <f t="shared" si="4"/>
        <v>754773.2</v>
      </c>
      <c r="R10" s="19">
        <f>Q10/E10</f>
        <v>0.99630400576305556</v>
      </c>
      <c r="S10" s="26">
        <v>141235.53421000001</v>
      </c>
      <c r="T10" s="26"/>
      <c r="U10" s="18">
        <f t="shared" si="5"/>
        <v>141235.53421000001</v>
      </c>
      <c r="V10" s="26">
        <v>37700.266869999999</v>
      </c>
      <c r="W10" s="26"/>
      <c r="X10" s="18">
        <f t="shared" si="6"/>
        <v>37700.266869999999</v>
      </c>
      <c r="Y10" s="26">
        <v>750773.2</v>
      </c>
      <c r="Z10" s="26"/>
      <c r="AA10" s="18">
        <f t="shared" si="7"/>
        <v>750773.2</v>
      </c>
      <c r="AB10" s="19">
        <f t="shared" si="8"/>
        <v>0.99102398784104639</v>
      </c>
    </row>
    <row r="11" spans="1:28" x14ac:dyDescent="0.25">
      <c r="A11" s="24" t="s">
        <v>20</v>
      </c>
      <c r="B11" s="25" t="s">
        <v>21</v>
      </c>
      <c r="C11" s="26">
        <v>19016.483700000001</v>
      </c>
      <c r="D11" s="26"/>
      <c r="E11" s="18">
        <f t="shared" si="0"/>
        <v>19016.483700000001</v>
      </c>
      <c r="F11" s="26">
        <v>4508.3621700000003</v>
      </c>
      <c r="G11" s="26"/>
      <c r="H11" s="18">
        <f t="shared" si="1"/>
        <v>4508.3621700000003</v>
      </c>
      <c r="I11" s="26">
        <f>4508.36217-F11</f>
        <v>0</v>
      </c>
      <c r="J11" s="26"/>
      <c r="K11" s="18">
        <f t="shared" si="2"/>
        <v>0</v>
      </c>
      <c r="L11" s="26">
        <v>19577.68</v>
      </c>
      <c r="M11" s="26"/>
      <c r="N11" s="18">
        <f t="shared" si="3"/>
        <v>19577.68</v>
      </c>
      <c r="O11" s="26">
        <f>L11</f>
        <v>19577.68</v>
      </c>
      <c r="P11" s="26"/>
      <c r="Q11" s="18">
        <f t="shared" si="4"/>
        <v>19577.68</v>
      </c>
      <c r="R11" s="19"/>
      <c r="S11" s="26">
        <v>4545.2041600000002</v>
      </c>
      <c r="T11" s="26"/>
      <c r="U11" s="18">
        <f t="shared" si="5"/>
        <v>4545.2041600000002</v>
      </c>
      <c r="V11" s="26">
        <v>1630.63148</v>
      </c>
      <c r="W11" s="26"/>
      <c r="X11" s="18">
        <f t="shared" si="6"/>
        <v>1630.63148</v>
      </c>
      <c r="Y11" s="26">
        <v>19577.68</v>
      </c>
      <c r="Z11" s="26"/>
      <c r="AA11" s="18">
        <f t="shared" si="7"/>
        <v>19577.68</v>
      </c>
      <c r="AB11" s="19"/>
    </row>
    <row r="12" spans="1:28" x14ac:dyDescent="0.25">
      <c r="A12" s="24" t="s">
        <v>22</v>
      </c>
      <c r="B12" s="25" t="s">
        <v>23</v>
      </c>
      <c r="C12" s="27">
        <f>SUM(C13:C16)</f>
        <v>164559.06219</v>
      </c>
      <c r="D12" s="27">
        <f>SUM(D13:D16)</f>
        <v>0</v>
      </c>
      <c r="E12" s="18">
        <f>C12-D12</f>
        <v>164559.06219</v>
      </c>
      <c r="F12" s="27">
        <f>SUM(F13:F16)</f>
        <v>9882.506800000001</v>
      </c>
      <c r="G12" s="27">
        <f>SUM(G13:G16)</f>
        <v>0</v>
      </c>
      <c r="H12" s="18">
        <f t="shared" si="1"/>
        <v>9882.506800000001</v>
      </c>
      <c r="I12" s="27">
        <f>SUM(I13:I16)</f>
        <v>10687.98263</v>
      </c>
      <c r="J12" s="27">
        <f>SUM(J13:J16)</f>
        <v>0</v>
      </c>
      <c r="K12" s="18">
        <f>I12-J12</f>
        <v>10687.98263</v>
      </c>
      <c r="L12" s="27">
        <f>SUM(L13:L16)</f>
        <v>191432.62999999998</v>
      </c>
      <c r="M12" s="27">
        <f>SUM(M13:M16)</f>
        <v>0</v>
      </c>
      <c r="N12" s="18">
        <f t="shared" si="3"/>
        <v>191432.62999999998</v>
      </c>
      <c r="O12" s="27">
        <f>SUM(O13:O16)</f>
        <v>191432.62999999998</v>
      </c>
      <c r="P12" s="27">
        <f>SUM(P13:P16)</f>
        <v>0</v>
      </c>
      <c r="Q12" s="18">
        <f t="shared" si="4"/>
        <v>191432.62999999998</v>
      </c>
      <c r="R12" s="19">
        <f t="shared" si="9"/>
        <v>1.1633065201779755</v>
      </c>
      <c r="S12" s="27">
        <f>SUM(S13:S16)</f>
        <v>3971.8804999999998</v>
      </c>
      <c r="T12" s="27">
        <f>SUM(T13:T16)</f>
        <v>0</v>
      </c>
      <c r="U12" s="18">
        <f t="shared" si="5"/>
        <v>3971.8804999999998</v>
      </c>
      <c r="V12" s="27">
        <f>SUM(V13:V16)</f>
        <v>2222.75155</v>
      </c>
      <c r="W12" s="27">
        <f>SUM(W13:W16)</f>
        <v>0</v>
      </c>
      <c r="X12" s="18">
        <f t="shared" si="6"/>
        <v>2222.75155</v>
      </c>
      <c r="Y12" s="27">
        <f>SUM(Y13:Y16)</f>
        <v>106453.27499000001</v>
      </c>
      <c r="Z12" s="27">
        <f>SUM(Z13:Z16)</f>
        <v>0</v>
      </c>
      <c r="AA12" s="18">
        <f t="shared" si="7"/>
        <v>106453.27499000001</v>
      </c>
      <c r="AB12" s="19">
        <f t="shared" si="8"/>
        <v>0.64690010731277126</v>
      </c>
    </row>
    <row r="13" spans="1:28" ht="26.25" x14ac:dyDescent="0.25">
      <c r="A13" s="24"/>
      <c r="B13" s="25" t="s">
        <v>24</v>
      </c>
      <c r="C13" s="26">
        <v>163158.14778</v>
      </c>
      <c r="D13" s="26"/>
      <c r="E13" s="28">
        <f t="shared" si="0"/>
        <v>163158.14778</v>
      </c>
      <c r="F13" s="26">
        <v>9113.8288200000006</v>
      </c>
      <c r="G13" s="26"/>
      <c r="H13" s="28">
        <f t="shared" si="1"/>
        <v>9113.8288200000006</v>
      </c>
      <c r="I13" s="26">
        <f>19265.93072-F13</f>
        <v>10152.1019</v>
      </c>
      <c r="J13" s="26"/>
      <c r="K13" s="18">
        <f>I13-J13</f>
        <v>10152.1019</v>
      </c>
      <c r="L13" s="26">
        <v>189909.52</v>
      </c>
      <c r="M13" s="26"/>
      <c r="N13" s="28">
        <f t="shared" si="3"/>
        <v>189909.52</v>
      </c>
      <c r="O13" s="26">
        <f>L13</f>
        <v>189909.52</v>
      </c>
      <c r="P13" s="26"/>
      <c r="Q13" s="28">
        <f t="shared" si="4"/>
        <v>189909.52</v>
      </c>
      <c r="R13" s="19">
        <f t="shared" si="9"/>
        <v>1.1639597689970784</v>
      </c>
      <c r="S13" s="26">
        <v>3138.6578399999999</v>
      </c>
      <c r="T13" s="26"/>
      <c r="U13" s="28">
        <f t="shared" si="5"/>
        <v>3138.6578399999999</v>
      </c>
      <c r="V13" s="26">
        <v>2022.75155</v>
      </c>
      <c r="W13" s="26"/>
      <c r="X13" s="28">
        <f t="shared" si="6"/>
        <v>2022.75155</v>
      </c>
      <c r="Y13" s="26">
        <v>104909.52</v>
      </c>
      <c r="Z13" s="26"/>
      <c r="AA13" s="28">
        <f t="shared" si="7"/>
        <v>104909.52</v>
      </c>
      <c r="AB13" s="19">
        <f t="shared" si="8"/>
        <v>0.6429928350342542</v>
      </c>
    </row>
    <row r="14" spans="1:28" ht="26.25" x14ac:dyDescent="0.25">
      <c r="A14" s="24"/>
      <c r="B14" s="25" t="s">
        <v>25</v>
      </c>
      <c r="C14" s="26">
        <v>28.749939999999999</v>
      </c>
      <c r="D14" s="26"/>
      <c r="E14" s="28">
        <f t="shared" si="0"/>
        <v>28.749939999999999</v>
      </c>
      <c r="F14" s="26">
        <f>11.87616</f>
        <v>11.87616</v>
      </c>
      <c r="G14" s="26"/>
      <c r="H14" s="28">
        <f t="shared" si="1"/>
        <v>11.87616</v>
      </c>
      <c r="I14" s="26">
        <f>11.87616-F14</f>
        <v>0</v>
      </c>
      <c r="J14" s="26"/>
      <c r="K14" s="18">
        <f>I14-J14</f>
        <v>0</v>
      </c>
      <c r="L14" s="26"/>
      <c r="M14" s="26"/>
      <c r="N14" s="28">
        <f t="shared" si="3"/>
        <v>0</v>
      </c>
      <c r="O14" s="26"/>
      <c r="P14" s="26"/>
      <c r="Q14" s="28">
        <f t="shared" si="4"/>
        <v>0</v>
      </c>
      <c r="R14" s="19">
        <f t="shared" si="9"/>
        <v>0</v>
      </c>
      <c r="S14" s="26">
        <v>20.64499</v>
      </c>
      <c r="T14" s="26"/>
      <c r="U14" s="28">
        <f t="shared" si="5"/>
        <v>20.64499</v>
      </c>
      <c r="V14" s="26"/>
      <c r="W14" s="26"/>
      <c r="X14" s="28">
        <f t="shared" si="6"/>
        <v>0</v>
      </c>
      <c r="Y14" s="26">
        <v>20.64499</v>
      </c>
      <c r="Z14" s="26"/>
      <c r="AA14" s="28">
        <f t="shared" si="7"/>
        <v>20.64499</v>
      </c>
      <c r="AB14" s="19">
        <f t="shared" si="8"/>
        <v>0.71808810731431094</v>
      </c>
    </row>
    <row r="15" spans="1:28" x14ac:dyDescent="0.25">
      <c r="A15" s="24"/>
      <c r="B15" s="25" t="s">
        <v>26</v>
      </c>
      <c r="C15" s="26">
        <v>0</v>
      </c>
      <c r="D15" s="26"/>
      <c r="E15" s="28">
        <f t="shared" si="0"/>
        <v>0</v>
      </c>
      <c r="F15" s="26"/>
      <c r="G15" s="26"/>
      <c r="H15" s="28">
        <f t="shared" si="1"/>
        <v>0</v>
      </c>
      <c r="I15" s="26"/>
      <c r="J15" s="26"/>
      <c r="K15" s="18">
        <f>I15-J15</f>
        <v>0</v>
      </c>
      <c r="L15" s="26"/>
      <c r="M15" s="26"/>
      <c r="N15" s="28">
        <f t="shared" si="3"/>
        <v>0</v>
      </c>
      <c r="O15" s="26"/>
      <c r="P15" s="26"/>
      <c r="Q15" s="28">
        <f t="shared" si="4"/>
        <v>0</v>
      </c>
      <c r="R15" s="19" t="e">
        <f t="shared" si="9"/>
        <v>#DIV/0!</v>
      </c>
      <c r="S15" s="26">
        <v>0</v>
      </c>
      <c r="T15" s="26"/>
      <c r="U15" s="28">
        <f t="shared" si="5"/>
        <v>0</v>
      </c>
      <c r="V15" s="26"/>
      <c r="W15" s="26"/>
      <c r="X15" s="28">
        <f t="shared" si="6"/>
        <v>0</v>
      </c>
      <c r="Y15" s="26">
        <v>0</v>
      </c>
      <c r="Z15" s="26"/>
      <c r="AA15" s="28">
        <f t="shared" si="7"/>
        <v>0</v>
      </c>
      <c r="AB15" s="19" t="e">
        <f t="shared" si="8"/>
        <v>#DIV/0!</v>
      </c>
    </row>
    <row r="16" spans="1:28" x14ac:dyDescent="0.25">
      <c r="A16" s="24"/>
      <c r="B16" s="25" t="s">
        <v>27</v>
      </c>
      <c r="C16" s="26">
        <v>1372.1644699999999</v>
      </c>
      <c r="D16" s="26"/>
      <c r="E16" s="28">
        <f t="shared" si="0"/>
        <v>1372.1644699999999</v>
      </c>
      <c r="F16" s="26">
        <f>756.80182</f>
        <v>756.80182000000002</v>
      </c>
      <c r="G16" s="26"/>
      <c r="H16" s="28">
        <f t="shared" si="1"/>
        <v>756.80182000000002</v>
      </c>
      <c r="I16" s="26">
        <f>1292.68255-F16</f>
        <v>535.88072999999997</v>
      </c>
      <c r="J16" s="26"/>
      <c r="K16" s="18">
        <f>I16-J16</f>
        <v>535.88072999999997</v>
      </c>
      <c r="L16" s="26">
        <v>1523.11</v>
      </c>
      <c r="M16" s="26"/>
      <c r="N16" s="28">
        <f t="shared" si="3"/>
        <v>1523.11</v>
      </c>
      <c r="O16" s="26">
        <f>L16</f>
        <v>1523.11</v>
      </c>
      <c r="P16" s="26"/>
      <c r="Q16" s="28">
        <f t="shared" si="4"/>
        <v>1523.11</v>
      </c>
      <c r="R16" s="19">
        <f t="shared" si="9"/>
        <v>1.1100054208516272</v>
      </c>
      <c r="S16" s="26">
        <v>812.57767000000001</v>
      </c>
      <c r="T16" s="26"/>
      <c r="U16" s="28">
        <f t="shared" si="5"/>
        <v>812.57767000000001</v>
      </c>
      <c r="V16" s="26">
        <v>200</v>
      </c>
      <c r="W16" s="26"/>
      <c r="X16" s="28">
        <f t="shared" si="6"/>
        <v>200</v>
      </c>
      <c r="Y16" s="26">
        <v>1523.11</v>
      </c>
      <c r="Z16" s="26"/>
      <c r="AA16" s="28">
        <f t="shared" si="7"/>
        <v>1523.11</v>
      </c>
      <c r="AB16" s="19">
        <f t="shared" si="8"/>
        <v>1.1100054208516272</v>
      </c>
    </row>
    <row r="17" spans="1:28" x14ac:dyDescent="0.25">
      <c r="A17" s="24" t="s">
        <v>28</v>
      </c>
      <c r="B17" s="25" t="s">
        <v>219</v>
      </c>
      <c r="C17" s="26">
        <v>0</v>
      </c>
      <c r="D17" s="26"/>
      <c r="E17" s="18">
        <f t="shared" si="0"/>
        <v>0</v>
      </c>
      <c r="F17" s="26"/>
      <c r="G17" s="26"/>
      <c r="H17" s="18">
        <f t="shared" si="1"/>
        <v>0</v>
      </c>
      <c r="I17" s="26"/>
      <c r="J17" s="26"/>
      <c r="K17" s="18">
        <f t="shared" ref="K17:K19" si="10">I17-J17</f>
        <v>0</v>
      </c>
      <c r="L17" s="26"/>
      <c r="M17" s="26"/>
      <c r="N17" s="18">
        <f t="shared" si="3"/>
        <v>0</v>
      </c>
      <c r="O17" s="26"/>
      <c r="P17" s="26"/>
      <c r="Q17" s="18">
        <f>O17-P17</f>
        <v>0</v>
      </c>
      <c r="R17" s="19" t="e">
        <f t="shared" si="9"/>
        <v>#DIV/0!</v>
      </c>
      <c r="S17" s="26">
        <v>0</v>
      </c>
      <c r="T17" s="26"/>
      <c r="U17" s="18">
        <f t="shared" si="5"/>
        <v>0</v>
      </c>
      <c r="V17" s="26"/>
      <c r="W17" s="26"/>
      <c r="X17" s="18">
        <f t="shared" si="6"/>
        <v>0</v>
      </c>
      <c r="Y17" s="26">
        <v>300</v>
      </c>
      <c r="Z17" s="26"/>
      <c r="AA17" s="18">
        <f t="shared" si="7"/>
        <v>300</v>
      </c>
      <c r="AB17" s="19" t="e">
        <f>AA17/E17</f>
        <v>#DIV/0!</v>
      </c>
    </row>
    <row r="18" spans="1:28" x14ac:dyDescent="0.25">
      <c r="A18" s="24" t="s">
        <v>30</v>
      </c>
      <c r="B18" s="25" t="s">
        <v>29</v>
      </c>
      <c r="C18" s="26">
        <v>10746.98929</v>
      </c>
      <c r="D18" s="26"/>
      <c r="E18" s="18">
        <f t="shared" si="0"/>
        <v>10746.98929</v>
      </c>
      <c r="F18" s="26">
        <f>716.35576</f>
        <v>716.35576000000003</v>
      </c>
      <c r="G18" s="26"/>
      <c r="H18" s="28">
        <f t="shared" si="1"/>
        <v>716.35576000000003</v>
      </c>
      <c r="I18" s="26">
        <f>825.99867-F18</f>
        <v>109.64290999999992</v>
      </c>
      <c r="J18" s="26"/>
      <c r="K18" s="18">
        <f t="shared" si="10"/>
        <v>109.64290999999992</v>
      </c>
      <c r="L18" s="26">
        <v>10261.4</v>
      </c>
      <c r="M18" s="26"/>
      <c r="N18" s="18">
        <f t="shared" si="3"/>
        <v>10261.4</v>
      </c>
      <c r="O18" s="26">
        <f>L18</f>
        <v>10261.4</v>
      </c>
      <c r="P18" s="26"/>
      <c r="Q18" s="18">
        <f>O18-P18</f>
        <v>10261.4</v>
      </c>
      <c r="R18" s="19">
        <f t="shared" si="9"/>
        <v>0.95481624882125482</v>
      </c>
      <c r="S18" s="26">
        <v>833.60478000000001</v>
      </c>
      <c r="T18" s="26"/>
      <c r="U18" s="18">
        <f t="shared" si="5"/>
        <v>833.60478000000001</v>
      </c>
      <c r="V18" s="26">
        <v>140</v>
      </c>
      <c r="W18" s="26"/>
      <c r="X18" s="18">
        <f t="shared" si="6"/>
        <v>140</v>
      </c>
      <c r="Y18" s="26">
        <v>10261.4</v>
      </c>
      <c r="Z18" s="26"/>
      <c r="AA18" s="18">
        <f t="shared" si="7"/>
        <v>10261.4</v>
      </c>
      <c r="AB18" s="19">
        <f>AA18/E18</f>
        <v>0.95481624882125482</v>
      </c>
    </row>
    <row r="19" spans="1:28" x14ac:dyDescent="0.25">
      <c r="A19" s="24" t="s">
        <v>32</v>
      </c>
      <c r="B19" s="25" t="s">
        <v>31</v>
      </c>
      <c r="C19" s="26">
        <v>1283.1012000000001</v>
      </c>
      <c r="D19" s="26"/>
      <c r="E19" s="18">
        <f t="shared" si="0"/>
        <v>1283.1012000000001</v>
      </c>
      <c r="F19" s="26">
        <f>490.97668</f>
        <v>490.97667999999999</v>
      </c>
      <c r="G19" s="26"/>
      <c r="H19" s="28">
        <f t="shared" si="1"/>
        <v>490.97667999999999</v>
      </c>
      <c r="I19" s="26">
        <f>466.73678-F19</f>
        <v>-24.239899999999977</v>
      </c>
      <c r="J19" s="26"/>
      <c r="K19" s="18">
        <f t="shared" si="10"/>
        <v>-24.239899999999977</v>
      </c>
      <c r="L19" s="26">
        <v>1245.95</v>
      </c>
      <c r="M19" s="26"/>
      <c r="N19" s="18">
        <f t="shared" si="3"/>
        <v>1245.95</v>
      </c>
      <c r="O19" s="26">
        <f>L19</f>
        <v>1245.95</v>
      </c>
      <c r="P19" s="26"/>
      <c r="Q19" s="18">
        <f t="shared" si="4"/>
        <v>1245.95</v>
      </c>
      <c r="R19" s="19">
        <f t="shared" si="9"/>
        <v>0.97104577565666683</v>
      </c>
      <c r="S19" s="26">
        <v>274.27481</v>
      </c>
      <c r="T19" s="26"/>
      <c r="U19" s="18">
        <f t="shared" si="5"/>
        <v>274.27481</v>
      </c>
      <c r="V19" s="26">
        <v>127.56066</v>
      </c>
      <c r="W19" s="26"/>
      <c r="X19" s="18">
        <f t="shared" si="6"/>
        <v>127.56066</v>
      </c>
      <c r="Y19" s="26">
        <v>1245.95</v>
      </c>
      <c r="Z19" s="26"/>
      <c r="AA19" s="18">
        <f t="shared" si="7"/>
        <v>1245.95</v>
      </c>
      <c r="AB19" s="19">
        <f t="shared" si="8"/>
        <v>0.97104577565666683</v>
      </c>
    </row>
    <row r="20" spans="1:28" x14ac:dyDescent="0.25">
      <c r="A20" s="24" t="s">
        <v>34</v>
      </c>
      <c r="B20" s="25" t="s">
        <v>33</v>
      </c>
      <c r="C20" s="26">
        <v>13319.05091</v>
      </c>
      <c r="D20" s="26"/>
      <c r="E20" s="18">
        <f t="shared" si="0"/>
        <v>13319.05091</v>
      </c>
      <c r="F20" s="26">
        <f>1662.68868</f>
        <v>1662.68868</v>
      </c>
      <c r="G20" s="26"/>
      <c r="H20" s="18">
        <f t="shared" si="1"/>
        <v>1662.68868</v>
      </c>
      <c r="I20" s="26">
        <f>2446.46315-F20</f>
        <v>783.77447000000006</v>
      </c>
      <c r="J20" s="26"/>
      <c r="K20" s="18">
        <f t="shared" si="2"/>
        <v>783.77447000000006</v>
      </c>
      <c r="L20" s="26">
        <v>9484.27</v>
      </c>
      <c r="M20" s="26"/>
      <c r="N20" s="18">
        <f t="shared" si="3"/>
        <v>9484.27</v>
      </c>
      <c r="O20" s="26">
        <f>L20</f>
        <v>9484.27</v>
      </c>
      <c r="P20" s="26"/>
      <c r="Q20" s="18">
        <f t="shared" ref="Q20" si="11">O20-P20</f>
        <v>9484.27</v>
      </c>
      <c r="R20" s="19">
        <f t="shared" ref="R20" si="12">Q20/E20</f>
        <v>0.71208302033586868</v>
      </c>
      <c r="S20" s="26">
        <v>5680.0635400000001</v>
      </c>
      <c r="T20" s="26"/>
      <c r="U20" s="18">
        <f t="shared" si="5"/>
        <v>5680.0635400000001</v>
      </c>
      <c r="V20" s="26">
        <v>300</v>
      </c>
      <c r="W20" s="26"/>
      <c r="X20" s="18">
        <f t="shared" si="6"/>
        <v>300</v>
      </c>
      <c r="Y20" s="26">
        <v>9484.27</v>
      </c>
      <c r="Z20" s="26"/>
      <c r="AA20" s="18">
        <f t="shared" si="7"/>
        <v>9484.27</v>
      </c>
      <c r="AB20" s="19">
        <f t="shared" si="8"/>
        <v>0.71208302033586868</v>
      </c>
    </row>
    <row r="21" spans="1:28" x14ac:dyDescent="0.25">
      <c r="A21" s="24" t="s">
        <v>45</v>
      </c>
      <c r="B21" s="25" t="s">
        <v>35</v>
      </c>
      <c r="C21" s="26">
        <v>0</v>
      </c>
      <c r="D21" s="26"/>
      <c r="E21" s="18">
        <f t="shared" si="0"/>
        <v>0</v>
      </c>
      <c r="F21" s="26"/>
      <c r="G21" s="26"/>
      <c r="H21" s="18">
        <f t="shared" si="1"/>
        <v>0</v>
      </c>
      <c r="I21" s="26"/>
      <c r="J21" s="26"/>
      <c r="K21" s="18">
        <f t="shared" si="2"/>
        <v>0</v>
      </c>
      <c r="L21" s="26"/>
      <c r="M21" s="26"/>
      <c r="N21" s="18">
        <f t="shared" si="3"/>
        <v>0</v>
      </c>
      <c r="O21" s="26"/>
      <c r="P21" s="26"/>
      <c r="Q21" s="18">
        <f t="shared" si="4"/>
        <v>0</v>
      </c>
      <c r="R21" s="19" t="e">
        <f t="shared" si="9"/>
        <v>#DIV/0!</v>
      </c>
      <c r="S21" s="26">
        <v>0</v>
      </c>
      <c r="T21" s="26"/>
      <c r="U21" s="18">
        <f t="shared" si="5"/>
        <v>0</v>
      </c>
      <c r="V21" s="26"/>
      <c r="W21" s="26"/>
      <c r="X21" s="18">
        <f t="shared" si="6"/>
        <v>0</v>
      </c>
      <c r="Y21" s="26">
        <v>0</v>
      </c>
      <c r="Z21" s="26"/>
      <c r="AA21" s="18">
        <f t="shared" si="7"/>
        <v>0</v>
      </c>
      <c r="AB21" s="19" t="e">
        <f t="shared" si="8"/>
        <v>#DIV/0!</v>
      </c>
    </row>
    <row r="22" spans="1:28" x14ac:dyDescent="0.25">
      <c r="A22" s="20" t="s">
        <v>36</v>
      </c>
      <c r="B22" s="21" t="s">
        <v>37</v>
      </c>
      <c r="C22" s="29">
        <f>C24+C25+C26+C27+C28+C29+C30+C31+C32+C33+C34+C37</f>
        <v>245239.24202999999</v>
      </c>
      <c r="D22" s="29">
        <f>D24+D25+D26+D27+D28+D29+D30+D31+D32+D33+D34+D37</f>
        <v>2528.2227699999999</v>
      </c>
      <c r="E22" s="30">
        <f>C22-D22</f>
        <v>242711.01926</v>
      </c>
      <c r="F22" s="29">
        <f>F24+F25+F26+F27+F28+F29+F30+F31+F32+F33+F34+F37</f>
        <v>61941.616599999994</v>
      </c>
      <c r="G22" s="29">
        <f>G24+G25+G26+G27+G28+G29+G30+G31+G32+G33+G34+G37</f>
        <v>836.54777000000001</v>
      </c>
      <c r="H22" s="30">
        <f t="shared" si="1"/>
        <v>61105.068829999997</v>
      </c>
      <c r="I22" s="29">
        <f>I24+I25+I26+I27+I28+I29+I30+I31+I32+I33+I34+I37</f>
        <v>27162.758769999993</v>
      </c>
      <c r="J22" s="29">
        <f>J24+J25+J26+J27+J28+J29+J30+J31+J32+J33+J34+J37</f>
        <v>0</v>
      </c>
      <c r="K22" s="30">
        <f>I22-J22</f>
        <v>27162.758769999993</v>
      </c>
      <c r="L22" s="29">
        <f>L24+L25+L26+L27+L28+L29+L30+L31+L32+L33+L34+L37</f>
        <v>187419.5</v>
      </c>
      <c r="M22" s="29">
        <f>M24+M25+M26+M27+M28+M29+M30+M31+M32+M33+M34+M37</f>
        <v>0</v>
      </c>
      <c r="N22" s="30">
        <f t="shared" si="3"/>
        <v>187419.5</v>
      </c>
      <c r="O22" s="29">
        <f>O24+O25+O26+O27+O28+O29+O30+O31+O32+O33+O34+O37</f>
        <v>187419.5</v>
      </c>
      <c r="P22" s="29">
        <f>P24+P25+P26+P27+P28+P29+P30+P31+P32+P33+P34+P37</f>
        <v>0</v>
      </c>
      <c r="Q22" s="30">
        <f t="shared" si="4"/>
        <v>187419.5</v>
      </c>
      <c r="R22" s="31">
        <f t="shared" si="9"/>
        <v>0.77219196957526715</v>
      </c>
      <c r="S22" s="29">
        <f>S24+S25+S26+S27+S28+S29+S30+S31+S32+S33+S34+S37</f>
        <v>130018.28779000002</v>
      </c>
      <c r="T22" s="29">
        <f>T24+T25+T26+T27+T28+T29+T30+T31+T32+T33+T34+T37</f>
        <v>0</v>
      </c>
      <c r="U22" s="30">
        <f t="shared" si="5"/>
        <v>130018.28779000002</v>
      </c>
      <c r="V22" s="29">
        <f>V24+V25+V26+V27+V28+V29+V30+V31+V32+V33+V34+V37</f>
        <v>3906.7605099999996</v>
      </c>
      <c r="W22" s="29">
        <f>W24+W25+W26+W27+W28+W29+W30+W31+W32+W33+W34+W37</f>
        <v>0</v>
      </c>
      <c r="X22" s="30">
        <f t="shared" si="6"/>
        <v>3906.7605099999996</v>
      </c>
      <c r="Y22" s="29">
        <f>Y24+Y25+Y26+Y27+Y28+Y29+Y30+Y31+Y32+Y33+Y34+Y37</f>
        <v>178772.65495099997</v>
      </c>
      <c r="Z22" s="29">
        <f>Z24+Z25+Z26+Z27+Z28+Z29+Z30+Z31+Z32+Z33+Z34+Z37</f>
        <v>-199.34030999999999</v>
      </c>
      <c r="AA22" s="30">
        <f t="shared" si="7"/>
        <v>178971.99526099997</v>
      </c>
      <c r="AB22" s="31">
        <f t="shared" si="8"/>
        <v>0.73738718500159772</v>
      </c>
    </row>
    <row r="23" spans="1:28" x14ac:dyDescent="0.25">
      <c r="A23" s="24"/>
      <c r="B23" s="25" t="s">
        <v>17</v>
      </c>
      <c r="C23" s="26"/>
      <c r="D23" s="26"/>
      <c r="E23" s="18"/>
      <c r="F23" s="26"/>
      <c r="G23" s="26"/>
      <c r="H23" s="18"/>
      <c r="I23" s="26"/>
      <c r="J23" s="26"/>
      <c r="K23" s="18"/>
      <c r="L23" s="26"/>
      <c r="M23" s="26"/>
      <c r="N23" s="18"/>
      <c r="O23" s="26"/>
      <c r="P23" s="26"/>
      <c r="Q23" s="18"/>
      <c r="R23" s="19"/>
      <c r="S23" s="26"/>
      <c r="T23" s="26"/>
      <c r="U23" s="18"/>
      <c r="V23" s="26"/>
      <c r="W23" s="26"/>
      <c r="X23" s="18"/>
      <c r="Y23" s="26"/>
      <c r="Z23" s="26"/>
      <c r="AA23" s="18"/>
      <c r="AB23" s="19"/>
    </row>
    <row r="24" spans="1:28" ht="38.25" x14ac:dyDescent="0.25">
      <c r="A24" s="24" t="s">
        <v>18</v>
      </c>
      <c r="B24" s="32" t="s">
        <v>38</v>
      </c>
      <c r="C24" s="26">
        <v>0</v>
      </c>
      <c r="D24" s="26"/>
      <c r="E24" s="18">
        <f t="shared" si="0"/>
        <v>0</v>
      </c>
      <c r="F24" s="26"/>
      <c r="G24" s="26"/>
      <c r="H24" s="18">
        <f t="shared" si="1"/>
        <v>0</v>
      </c>
      <c r="I24" s="26"/>
      <c r="J24" s="26"/>
      <c r="K24" s="18">
        <f t="shared" si="2"/>
        <v>0</v>
      </c>
      <c r="L24" s="26"/>
      <c r="M24" s="26"/>
      <c r="N24" s="18">
        <f t="shared" si="3"/>
        <v>0</v>
      </c>
      <c r="O24" s="26"/>
      <c r="P24" s="26"/>
      <c r="Q24" s="18">
        <f t="shared" si="4"/>
        <v>0</v>
      </c>
      <c r="R24" s="19" t="e">
        <f t="shared" si="9"/>
        <v>#DIV/0!</v>
      </c>
      <c r="S24" s="26"/>
      <c r="T24" s="26"/>
      <c r="U24" s="18">
        <f t="shared" si="5"/>
        <v>0</v>
      </c>
      <c r="V24" s="26"/>
      <c r="W24" s="26"/>
      <c r="X24" s="18">
        <f t="shared" si="6"/>
        <v>0</v>
      </c>
      <c r="Y24" s="26">
        <v>0</v>
      </c>
      <c r="Z24" s="26"/>
      <c r="AA24" s="18">
        <f t="shared" si="7"/>
        <v>0</v>
      </c>
      <c r="AB24" s="19" t="e">
        <f t="shared" si="8"/>
        <v>#DIV/0!</v>
      </c>
    </row>
    <row r="25" spans="1:28" ht="25.5" x14ac:dyDescent="0.25">
      <c r="A25" s="24" t="s">
        <v>20</v>
      </c>
      <c r="B25" s="32" t="s">
        <v>39</v>
      </c>
      <c r="C25" s="26">
        <v>0</v>
      </c>
      <c r="D25" s="26"/>
      <c r="E25" s="18">
        <f>C25-D25</f>
        <v>0</v>
      </c>
      <c r="F25" s="26"/>
      <c r="G25" s="26"/>
      <c r="H25" s="18">
        <f t="shared" si="1"/>
        <v>0</v>
      </c>
      <c r="I25" s="26"/>
      <c r="J25" s="26"/>
      <c r="K25" s="18">
        <f t="shared" si="2"/>
        <v>0</v>
      </c>
      <c r="L25" s="26"/>
      <c r="M25" s="26"/>
      <c r="N25" s="18">
        <f t="shared" si="3"/>
        <v>0</v>
      </c>
      <c r="O25" s="26"/>
      <c r="P25" s="26"/>
      <c r="Q25" s="18">
        <f t="shared" si="4"/>
        <v>0</v>
      </c>
      <c r="R25" s="19" t="e">
        <f t="shared" si="9"/>
        <v>#DIV/0!</v>
      </c>
      <c r="S25" s="26"/>
      <c r="T25" s="26"/>
      <c r="U25" s="18">
        <f t="shared" si="5"/>
        <v>0</v>
      </c>
      <c r="V25" s="26"/>
      <c r="W25" s="26"/>
      <c r="X25" s="18">
        <f t="shared" si="6"/>
        <v>0</v>
      </c>
      <c r="Y25" s="26">
        <v>0</v>
      </c>
      <c r="Z25" s="26"/>
      <c r="AA25" s="18">
        <f>Y25-Z25</f>
        <v>0</v>
      </c>
      <c r="AB25" s="19" t="e">
        <f t="shared" si="8"/>
        <v>#DIV/0!</v>
      </c>
    </row>
    <row r="26" spans="1:28" ht="25.5" x14ac:dyDescent="0.25">
      <c r="A26" s="24" t="s">
        <v>22</v>
      </c>
      <c r="B26" s="32" t="s">
        <v>40</v>
      </c>
      <c r="C26" s="26">
        <f>171950.51903+1604.06464+0.02063</f>
        <v>173554.60430000001</v>
      </c>
      <c r="D26" s="26"/>
      <c r="E26" s="18">
        <f t="shared" ref="E26:E29" si="13">C26-D26</f>
        <v>173554.60430000001</v>
      </c>
      <c r="F26" s="26">
        <f>43172.67063+322.64982</f>
        <v>43495.320449999999</v>
      </c>
      <c r="G26" s="26"/>
      <c r="H26" s="18">
        <f t="shared" si="1"/>
        <v>43495.320449999999</v>
      </c>
      <c r="I26" s="26">
        <f>60834.47162+378.83192-F26</f>
        <v>17717.983089999994</v>
      </c>
      <c r="J26" s="26"/>
      <c r="K26" s="18">
        <f t="shared" si="2"/>
        <v>17717.983089999994</v>
      </c>
      <c r="L26" s="26">
        <f>148013.85+954.57+59.91</f>
        <v>149028.33000000002</v>
      </c>
      <c r="M26" s="26"/>
      <c r="N26" s="18">
        <f t="shared" si="3"/>
        <v>149028.33000000002</v>
      </c>
      <c r="O26" s="26">
        <f>L26</f>
        <v>149028.33000000002</v>
      </c>
      <c r="P26" s="26"/>
      <c r="Q26" s="18">
        <f t="shared" si="4"/>
        <v>149028.33000000002</v>
      </c>
      <c r="R26" s="19"/>
      <c r="S26" s="26">
        <f>117592.53459+542.969</f>
        <v>118135.50358999999</v>
      </c>
      <c r="T26" s="26"/>
      <c r="U26" s="18">
        <f t="shared" si="5"/>
        <v>118135.50358999999</v>
      </c>
      <c r="V26" s="26">
        <f>711.67444+35</f>
        <v>746.67444</v>
      </c>
      <c r="W26" s="26"/>
      <c r="X26" s="18">
        <f t="shared" si="6"/>
        <v>746.67444</v>
      </c>
      <c r="Y26" s="26">
        <f>149028.33</f>
        <v>149028.32999999999</v>
      </c>
      <c r="Z26" s="26"/>
      <c r="AA26" s="18">
        <f t="shared" si="7"/>
        <v>149028.32999999999</v>
      </c>
      <c r="AB26" s="19"/>
    </row>
    <row r="27" spans="1:28" x14ac:dyDescent="0.25">
      <c r="A27" s="24" t="s">
        <v>28</v>
      </c>
      <c r="B27" s="32" t="s">
        <v>41</v>
      </c>
      <c r="C27" s="26">
        <v>0</v>
      </c>
      <c r="D27" s="26"/>
      <c r="E27" s="18">
        <f t="shared" si="13"/>
        <v>0</v>
      </c>
      <c r="F27" s="26"/>
      <c r="G27" s="26"/>
      <c r="H27" s="18">
        <f t="shared" si="1"/>
        <v>0</v>
      </c>
      <c r="I27" s="26"/>
      <c r="J27" s="26"/>
      <c r="K27" s="18">
        <f t="shared" si="2"/>
        <v>0</v>
      </c>
      <c r="L27" s="26"/>
      <c r="M27" s="26"/>
      <c r="N27" s="18">
        <f t="shared" si="3"/>
        <v>0</v>
      </c>
      <c r="O27" s="26"/>
      <c r="P27" s="26"/>
      <c r="Q27" s="18">
        <f t="shared" si="4"/>
        <v>0</v>
      </c>
      <c r="R27" s="19" t="e">
        <f t="shared" si="9"/>
        <v>#DIV/0!</v>
      </c>
      <c r="S27" s="26"/>
      <c r="T27" s="26"/>
      <c r="U27" s="18">
        <f t="shared" si="5"/>
        <v>0</v>
      </c>
      <c r="V27" s="26"/>
      <c r="W27" s="26"/>
      <c r="X27" s="18">
        <f t="shared" si="6"/>
        <v>0</v>
      </c>
      <c r="Y27" s="26">
        <v>0</v>
      </c>
      <c r="Z27" s="26"/>
      <c r="AA27" s="18">
        <f t="shared" si="7"/>
        <v>0</v>
      </c>
      <c r="AB27" s="19" t="e">
        <f t="shared" si="8"/>
        <v>#DIV/0!</v>
      </c>
    </row>
    <row r="28" spans="1:28" ht="38.25" x14ac:dyDescent="0.25">
      <c r="A28" s="24" t="s">
        <v>30</v>
      </c>
      <c r="B28" s="32" t="s">
        <v>42</v>
      </c>
      <c r="C28" s="26">
        <v>24023.475589999998</v>
      </c>
      <c r="D28" s="26"/>
      <c r="E28" s="18">
        <f t="shared" si="13"/>
        <v>24023.475589999998</v>
      </c>
      <c r="F28" s="26">
        <f>5334.47165</f>
        <v>5334.4716500000004</v>
      </c>
      <c r="G28" s="26"/>
      <c r="H28" s="18">
        <f t="shared" si="1"/>
        <v>5334.4716500000004</v>
      </c>
      <c r="I28" s="26">
        <f>6998.61657-F28</f>
        <v>1664.1449199999997</v>
      </c>
      <c r="J28" s="26"/>
      <c r="K28" s="18">
        <f t="shared" si="2"/>
        <v>1664.1449199999997</v>
      </c>
      <c r="L28" s="26">
        <f>16493.24</f>
        <v>16493.240000000002</v>
      </c>
      <c r="M28" s="26"/>
      <c r="N28" s="18">
        <f t="shared" si="3"/>
        <v>16493.240000000002</v>
      </c>
      <c r="O28" s="26">
        <f>L28</f>
        <v>16493.240000000002</v>
      </c>
      <c r="P28" s="26"/>
      <c r="Q28" s="18">
        <f t="shared" si="4"/>
        <v>16493.240000000002</v>
      </c>
      <c r="R28" s="19"/>
      <c r="S28" s="26">
        <v>4889.7153699999999</v>
      </c>
      <c r="T28" s="26"/>
      <c r="U28" s="18">
        <f t="shared" si="5"/>
        <v>4889.7153699999999</v>
      </c>
      <c r="V28" s="26">
        <v>1426.61438</v>
      </c>
      <c r="W28" s="26"/>
      <c r="X28" s="18">
        <f t="shared" si="6"/>
        <v>1426.61438</v>
      </c>
      <c r="Y28" s="26">
        <v>16493.240000000002</v>
      </c>
      <c r="Z28" s="26"/>
      <c r="AA28" s="18">
        <f t="shared" si="7"/>
        <v>16493.240000000002</v>
      </c>
      <c r="AB28" s="19"/>
    </row>
    <row r="29" spans="1:28" ht="38.25" x14ac:dyDescent="0.25">
      <c r="A29" s="24" t="s">
        <v>32</v>
      </c>
      <c r="B29" s="32" t="s">
        <v>43</v>
      </c>
      <c r="C29" s="26">
        <v>0</v>
      </c>
      <c r="D29" s="26"/>
      <c r="E29" s="18">
        <f t="shared" si="13"/>
        <v>0</v>
      </c>
      <c r="F29" s="26"/>
      <c r="G29" s="26"/>
      <c r="H29" s="18">
        <f t="shared" si="1"/>
        <v>0</v>
      </c>
      <c r="I29" s="26"/>
      <c r="J29" s="26"/>
      <c r="K29" s="18">
        <f t="shared" si="2"/>
        <v>0</v>
      </c>
      <c r="L29" s="26"/>
      <c r="M29" s="26"/>
      <c r="N29" s="18">
        <f t="shared" si="3"/>
        <v>0</v>
      </c>
      <c r="O29" s="26"/>
      <c r="P29" s="26"/>
      <c r="Q29" s="18">
        <f t="shared" si="4"/>
        <v>0</v>
      </c>
      <c r="R29" s="19"/>
      <c r="S29" s="26"/>
      <c r="T29" s="26"/>
      <c r="U29" s="18">
        <f t="shared" si="5"/>
        <v>0</v>
      </c>
      <c r="V29" s="26"/>
      <c r="W29" s="26"/>
      <c r="X29" s="18">
        <f t="shared" si="6"/>
        <v>0</v>
      </c>
      <c r="Y29" s="26">
        <v>0</v>
      </c>
      <c r="Z29" s="26"/>
      <c r="AA29" s="18">
        <f t="shared" si="7"/>
        <v>0</v>
      </c>
      <c r="AB29" s="19"/>
    </row>
    <row r="30" spans="1:28" ht="25.5" x14ac:dyDescent="0.25">
      <c r="A30" s="24" t="s">
        <v>34</v>
      </c>
      <c r="B30" s="32" t="s">
        <v>44</v>
      </c>
      <c r="C30" s="26">
        <v>0</v>
      </c>
      <c r="D30" s="26"/>
      <c r="E30" s="18">
        <f t="shared" si="0"/>
        <v>0</v>
      </c>
      <c r="F30" s="26"/>
      <c r="G30" s="26"/>
      <c r="H30" s="18">
        <f t="shared" si="1"/>
        <v>0</v>
      </c>
      <c r="I30" s="26"/>
      <c r="J30" s="26"/>
      <c r="K30" s="18">
        <f t="shared" si="2"/>
        <v>0</v>
      </c>
      <c r="L30" s="26"/>
      <c r="M30" s="26"/>
      <c r="N30" s="18">
        <f t="shared" si="3"/>
        <v>0</v>
      </c>
      <c r="O30" s="26"/>
      <c r="P30" s="26"/>
      <c r="Q30" s="18">
        <f t="shared" si="4"/>
        <v>0</v>
      </c>
      <c r="R30" s="19" t="e">
        <f t="shared" si="9"/>
        <v>#DIV/0!</v>
      </c>
      <c r="S30" s="26">
        <v>1593.1</v>
      </c>
      <c r="T30" s="26"/>
      <c r="U30" s="18">
        <f t="shared" si="5"/>
        <v>1593.1</v>
      </c>
      <c r="V30" s="26"/>
      <c r="W30" s="26"/>
      <c r="X30" s="18">
        <f t="shared" si="6"/>
        <v>0</v>
      </c>
      <c r="Y30" s="26">
        <v>1593.1</v>
      </c>
      <c r="Z30" s="26"/>
      <c r="AA30" s="18">
        <f t="shared" si="7"/>
        <v>1593.1</v>
      </c>
      <c r="AB30" s="19" t="e">
        <f t="shared" si="8"/>
        <v>#DIV/0!</v>
      </c>
    </row>
    <row r="31" spans="1:28" ht="25.5" x14ac:dyDescent="0.25">
      <c r="A31" s="24" t="s">
        <v>45</v>
      </c>
      <c r="B31" s="32" t="s">
        <v>46</v>
      </c>
      <c r="C31" s="26">
        <v>14068.46912</v>
      </c>
      <c r="D31" s="26"/>
      <c r="E31" s="18">
        <f t="shared" si="0"/>
        <v>14068.46912</v>
      </c>
      <c r="F31" s="26">
        <f>3853.33466</f>
        <v>3853.33466</v>
      </c>
      <c r="G31" s="26"/>
      <c r="H31" s="18">
        <f t="shared" si="1"/>
        <v>3853.33466</v>
      </c>
      <c r="I31" s="26">
        <f>7159.59076-F31</f>
        <v>3306.2561000000001</v>
      </c>
      <c r="J31" s="26"/>
      <c r="K31" s="18">
        <f t="shared" si="2"/>
        <v>3306.2561000000001</v>
      </c>
      <c r="L31" s="26">
        <v>12126.92</v>
      </c>
      <c r="M31" s="26"/>
      <c r="N31" s="18">
        <f t="shared" si="3"/>
        <v>12126.92</v>
      </c>
      <c r="O31" s="26">
        <f>L31</f>
        <v>12126.92</v>
      </c>
      <c r="P31" s="26"/>
      <c r="Q31" s="18">
        <f t="shared" si="4"/>
        <v>12126.92</v>
      </c>
      <c r="R31" s="19">
        <f t="shared" si="9"/>
        <v>0.86199286479295345</v>
      </c>
      <c r="S31" s="26">
        <v>553.82073000000003</v>
      </c>
      <c r="T31" s="26"/>
      <c r="U31" s="18">
        <f t="shared" si="5"/>
        <v>553.82073000000003</v>
      </c>
      <c r="V31" s="26">
        <v>973.09966999999995</v>
      </c>
      <c r="W31" s="26"/>
      <c r="X31" s="18">
        <f t="shared" si="6"/>
        <v>973.09966999999995</v>
      </c>
      <c r="Y31" s="26">
        <v>2126.92</v>
      </c>
      <c r="Z31" s="26"/>
      <c r="AA31" s="18">
        <f t="shared" si="7"/>
        <v>2126.92</v>
      </c>
      <c r="AB31" s="19">
        <f t="shared" si="8"/>
        <v>0.15118347148207695</v>
      </c>
    </row>
    <row r="32" spans="1:28" ht="25.5" x14ac:dyDescent="0.25">
      <c r="A32" s="24" t="s">
        <v>47</v>
      </c>
      <c r="B32" s="32" t="s">
        <v>48</v>
      </c>
      <c r="C32" s="26">
        <v>10138.620870000001</v>
      </c>
      <c r="D32" s="26">
        <v>1.7227699999999999</v>
      </c>
      <c r="E32" s="18">
        <f t="shared" si="0"/>
        <v>10136.8981</v>
      </c>
      <c r="F32" s="26">
        <f>40.28694+112.11131+2245.28043</f>
        <v>2397.67868</v>
      </c>
      <c r="G32" s="26">
        <v>1.0477700000000001</v>
      </c>
      <c r="H32" s="18">
        <f t="shared" si="1"/>
        <v>2396.6309099999999</v>
      </c>
      <c r="I32" s="26">
        <f>196.13885+1.04777+3348.54612-F32</f>
        <v>1148.0540599999999</v>
      </c>
      <c r="J32" s="26">
        <f>1.04777-G32</f>
        <v>0</v>
      </c>
      <c r="K32" s="18">
        <f t="shared" si="2"/>
        <v>1148.0540599999999</v>
      </c>
      <c r="L32" s="26">
        <v>4877.43</v>
      </c>
      <c r="M32" s="26"/>
      <c r="N32" s="18">
        <f t="shared" si="3"/>
        <v>4877.43</v>
      </c>
      <c r="O32" s="26">
        <f>L32</f>
        <v>4877.43</v>
      </c>
      <c r="P32" s="26"/>
      <c r="Q32" s="18">
        <f t="shared" si="4"/>
        <v>4877.43</v>
      </c>
      <c r="R32" s="19">
        <f t="shared" si="9"/>
        <v>0.48115606489129059</v>
      </c>
      <c r="S32" s="26">
        <v>913.45947000000001</v>
      </c>
      <c r="T32" s="26"/>
      <c r="U32" s="18">
        <f t="shared" si="5"/>
        <v>913.45947000000001</v>
      </c>
      <c r="V32" s="26">
        <v>687.54052999999999</v>
      </c>
      <c r="W32" s="26"/>
      <c r="X32" s="18">
        <f t="shared" si="6"/>
        <v>687.54052999999999</v>
      </c>
      <c r="Y32" s="26">
        <v>4877.43</v>
      </c>
      <c r="Z32" s="26"/>
      <c r="AA32" s="18">
        <f t="shared" si="7"/>
        <v>4877.43</v>
      </c>
      <c r="AB32" s="19">
        <f t="shared" si="8"/>
        <v>0.48115606489129059</v>
      </c>
    </row>
    <row r="33" spans="1:28" ht="25.5" x14ac:dyDescent="0.25">
      <c r="A33" s="24" t="s">
        <v>49</v>
      </c>
      <c r="B33" s="32" t="s">
        <v>50</v>
      </c>
      <c r="C33" s="26">
        <v>16748.63061</v>
      </c>
      <c r="D33" s="26"/>
      <c r="E33" s="18">
        <f t="shared" si="0"/>
        <v>16748.63061</v>
      </c>
      <c r="F33" s="26">
        <f>5522.59489</f>
        <v>5522.5948900000003</v>
      </c>
      <c r="G33" s="26"/>
      <c r="H33" s="18">
        <f t="shared" si="1"/>
        <v>5522.5948900000003</v>
      </c>
      <c r="I33" s="26">
        <f>8717.73846-F33</f>
        <v>3195.1435700000002</v>
      </c>
      <c r="J33" s="26"/>
      <c r="K33" s="18">
        <f t="shared" si="2"/>
        <v>3195.1435700000002</v>
      </c>
      <c r="L33" s="26">
        <v>3804.34</v>
      </c>
      <c r="M33" s="26"/>
      <c r="N33" s="18">
        <f t="shared" si="3"/>
        <v>3804.34</v>
      </c>
      <c r="O33" s="26">
        <f>L33</f>
        <v>3804.34</v>
      </c>
      <c r="P33" s="26"/>
      <c r="Q33" s="18">
        <f t="shared" si="4"/>
        <v>3804.34</v>
      </c>
      <c r="R33" s="19">
        <f t="shared" si="9"/>
        <v>0.2271433461389116</v>
      </c>
      <c r="S33" s="26">
        <v>3909.4661999999998</v>
      </c>
      <c r="T33" s="26"/>
      <c r="U33" s="18">
        <f t="shared" si="5"/>
        <v>3909.4661999999998</v>
      </c>
      <c r="V33" s="26"/>
      <c r="W33" s="26"/>
      <c r="X33" s="18">
        <f t="shared" si="6"/>
        <v>0</v>
      </c>
      <c r="Y33" s="26">
        <v>3909.4661999999998</v>
      </c>
      <c r="Z33" s="26"/>
      <c r="AA33" s="18">
        <f t="shared" si="7"/>
        <v>3909.4661999999998</v>
      </c>
      <c r="AB33" s="19">
        <f t="shared" si="8"/>
        <v>0.23342005033329705</v>
      </c>
    </row>
    <row r="34" spans="1:28" x14ac:dyDescent="0.25">
      <c r="A34" s="24" t="s">
        <v>51</v>
      </c>
      <c r="B34" s="32" t="s">
        <v>52</v>
      </c>
      <c r="C34" s="26">
        <v>3834.3883599999999</v>
      </c>
      <c r="D34" s="26"/>
      <c r="E34" s="18">
        <f t="shared" si="0"/>
        <v>3834.3883599999999</v>
      </c>
      <c r="F34" s="26">
        <f>510.92273</f>
        <v>510.92273</v>
      </c>
      <c r="G34" s="26"/>
      <c r="H34" s="18">
        <f t="shared" si="1"/>
        <v>510.92273</v>
      </c>
      <c r="I34" s="26">
        <f>9.82+553.12442-F34</f>
        <v>52.021690000000035</v>
      </c>
      <c r="J34" s="26"/>
      <c r="K34" s="18">
        <f t="shared" si="2"/>
        <v>52.021690000000035</v>
      </c>
      <c r="L34" s="26">
        <v>1089.24</v>
      </c>
      <c r="M34" s="26"/>
      <c r="N34" s="18">
        <f t="shared" si="3"/>
        <v>1089.24</v>
      </c>
      <c r="O34" s="26">
        <f>L34</f>
        <v>1089.24</v>
      </c>
      <c r="P34" s="26"/>
      <c r="Q34" s="18">
        <f t="shared" si="4"/>
        <v>1089.24</v>
      </c>
      <c r="R34" s="19">
        <f t="shared" si="9"/>
        <v>0.28407138185658376</v>
      </c>
      <c r="S34" s="26">
        <v>168.95282</v>
      </c>
      <c r="T34" s="26"/>
      <c r="U34" s="18">
        <f t="shared" si="5"/>
        <v>168.95282</v>
      </c>
      <c r="V34" s="26">
        <v>72.831490000000002</v>
      </c>
      <c r="W34" s="26"/>
      <c r="X34" s="18">
        <f t="shared" si="6"/>
        <v>72.831490000000002</v>
      </c>
      <c r="Y34" s="26">
        <v>1089.24</v>
      </c>
      <c r="Z34" s="26"/>
      <c r="AA34" s="18">
        <f t="shared" si="7"/>
        <v>1089.24</v>
      </c>
      <c r="AB34" s="19">
        <f t="shared" si="8"/>
        <v>0.28407138185658376</v>
      </c>
    </row>
    <row r="35" spans="1:28" x14ac:dyDescent="0.25">
      <c r="A35" s="33"/>
      <c r="B35" s="34" t="s">
        <v>7</v>
      </c>
      <c r="C35" s="35"/>
      <c r="D35" s="35"/>
      <c r="E35" s="36"/>
      <c r="F35" s="35"/>
      <c r="G35" s="35"/>
      <c r="H35" s="36"/>
      <c r="I35" s="35"/>
      <c r="J35" s="35"/>
      <c r="K35" s="36"/>
      <c r="L35" s="35"/>
      <c r="M35" s="35"/>
      <c r="N35" s="36"/>
      <c r="O35" s="35"/>
      <c r="P35" s="35"/>
      <c r="Q35" s="36"/>
      <c r="R35" s="37"/>
      <c r="S35" s="35"/>
      <c r="T35" s="35"/>
      <c r="U35" s="36"/>
      <c r="V35" s="35"/>
      <c r="W35" s="35"/>
      <c r="X35" s="36"/>
      <c r="Y35" s="35"/>
      <c r="Z35" s="35"/>
      <c r="AA35" s="36"/>
      <c r="AB35" s="37"/>
    </row>
    <row r="36" spans="1:28" ht="38.25" x14ac:dyDescent="0.25">
      <c r="A36" s="24"/>
      <c r="B36" s="32" t="s">
        <v>53</v>
      </c>
      <c r="C36" s="26">
        <v>0</v>
      </c>
      <c r="D36" s="26"/>
      <c r="E36" s="18">
        <f t="shared" ref="E36" si="14">C36-D36</f>
        <v>0</v>
      </c>
      <c r="F36" s="26">
        <v>0</v>
      </c>
      <c r="G36" s="26"/>
      <c r="H36" s="18">
        <f t="shared" ref="H36" si="15">F36-G36</f>
        <v>0</v>
      </c>
      <c r="I36" s="26">
        <v>0</v>
      </c>
      <c r="J36" s="26"/>
      <c r="K36" s="18">
        <f t="shared" ref="K36" si="16">I36-J36</f>
        <v>0</v>
      </c>
      <c r="L36" s="26">
        <v>0</v>
      </c>
      <c r="M36" s="26"/>
      <c r="N36" s="18">
        <f t="shared" ref="N36" si="17">L36-M36</f>
        <v>0</v>
      </c>
      <c r="O36" s="26"/>
      <c r="P36" s="26"/>
      <c r="Q36" s="18">
        <f t="shared" ref="Q36" si="18">O36-P36</f>
        <v>0</v>
      </c>
      <c r="R36" s="19" t="e">
        <f t="shared" ref="R36" si="19">Q36/E36</f>
        <v>#DIV/0!</v>
      </c>
      <c r="S36" s="26"/>
      <c r="T36" s="26"/>
      <c r="U36" s="18">
        <f t="shared" ref="U36" si="20">S36-T36</f>
        <v>0</v>
      </c>
      <c r="V36" s="26">
        <v>0</v>
      </c>
      <c r="W36" s="26"/>
      <c r="X36" s="18">
        <f t="shared" ref="X36" si="21">V36-W36</f>
        <v>0</v>
      </c>
      <c r="Y36" s="26">
        <v>0</v>
      </c>
      <c r="Z36" s="26"/>
      <c r="AA36" s="18">
        <f t="shared" ref="AA36" si="22">Y36-Z36</f>
        <v>0</v>
      </c>
      <c r="AB36" s="19" t="e">
        <f t="shared" ref="AB36" si="23">AA36/E36</f>
        <v>#DIV/0!</v>
      </c>
    </row>
    <row r="37" spans="1:28" x14ac:dyDescent="0.25">
      <c r="A37" s="24" t="s">
        <v>54</v>
      </c>
      <c r="B37" s="25" t="s">
        <v>55</v>
      </c>
      <c r="C37" s="26">
        <v>2871.0531799999999</v>
      </c>
      <c r="D37" s="26">
        <v>2526.5</v>
      </c>
      <c r="E37" s="18">
        <f t="shared" si="0"/>
        <v>344.55317999999988</v>
      </c>
      <c r="F37" s="26">
        <f>875.5-48.20646</f>
        <v>827.29354000000001</v>
      </c>
      <c r="G37" s="26">
        <v>835.5</v>
      </c>
      <c r="H37" s="18">
        <f t="shared" si="1"/>
        <v>-8.2064599999999928</v>
      </c>
      <c r="I37" s="26">
        <f>981.21379-74.76491-F37</f>
        <v>79.155340000000024</v>
      </c>
      <c r="J37" s="26">
        <f>835.5-G37</f>
        <v>0</v>
      </c>
      <c r="K37" s="18">
        <f t="shared" si="2"/>
        <v>79.155340000000024</v>
      </c>
      <c r="L37" s="26">
        <v>0</v>
      </c>
      <c r="M37" s="26"/>
      <c r="N37" s="18">
        <f t="shared" si="3"/>
        <v>0</v>
      </c>
      <c r="O37" s="26">
        <f>L37</f>
        <v>0</v>
      </c>
      <c r="P37" s="26"/>
      <c r="Q37" s="18">
        <f t="shared" si="4"/>
        <v>0</v>
      </c>
      <c r="R37" s="19">
        <f t="shared" si="9"/>
        <v>0</v>
      </c>
      <c r="S37" s="26">
        <v>-145.73039</v>
      </c>
      <c r="T37" s="26"/>
      <c r="U37" s="18">
        <f t="shared" si="5"/>
        <v>-145.73039</v>
      </c>
      <c r="V37" s="26">
        <v>0</v>
      </c>
      <c r="W37" s="26"/>
      <c r="X37" s="18">
        <f t="shared" si="6"/>
        <v>0</v>
      </c>
      <c r="Y37" s="26">
        <f>-145.730939-199.34031</f>
        <v>-345.07124899999997</v>
      </c>
      <c r="Z37" s="26">
        <f>-199.34031</f>
        <v>-199.34030999999999</v>
      </c>
      <c r="AA37" s="18">
        <f t="shared" si="7"/>
        <v>-145.73093899999998</v>
      </c>
      <c r="AB37" s="19">
        <f t="shared" si="8"/>
        <v>-0.42295630242042759</v>
      </c>
    </row>
    <row r="38" spans="1:28" x14ac:dyDescent="0.25">
      <c r="A38" s="38" t="s">
        <v>56</v>
      </c>
      <c r="B38" s="16" t="s">
        <v>57</v>
      </c>
      <c r="C38" s="17">
        <f>C39+C48+C50+C49</f>
        <v>2628546.7669800003</v>
      </c>
      <c r="D38" s="17">
        <f>D39+D48+D50+D49</f>
        <v>2306013.4657399999</v>
      </c>
      <c r="E38" s="30">
        <f t="shared" si="0"/>
        <v>322533.30124000041</v>
      </c>
      <c r="F38" s="17">
        <f>F39+F48+F50+F49</f>
        <v>358662.64848999999</v>
      </c>
      <c r="G38" s="17">
        <f>G39+G48+G50+G49</f>
        <v>352984.08750000002</v>
      </c>
      <c r="H38" s="30">
        <f t="shared" si="1"/>
        <v>5678.560989999969</v>
      </c>
      <c r="I38" s="17">
        <f>I39+I48+I50+I49</f>
        <v>329228.32149</v>
      </c>
      <c r="J38" s="17">
        <f>J39+J48+J50+J49</f>
        <v>328030.78766999999</v>
      </c>
      <c r="K38" s="30">
        <f t="shared" si="2"/>
        <v>1197.5338200000115</v>
      </c>
      <c r="L38" s="17">
        <f>L39+L48+L50+L49</f>
        <v>2820267.0976800001</v>
      </c>
      <c r="M38" s="17">
        <f>M39+M48+M50+M49</f>
        <v>2473144.59968</v>
      </c>
      <c r="N38" s="30">
        <f t="shared" si="3"/>
        <v>347122.49800000014</v>
      </c>
      <c r="O38" s="17">
        <f>O39+O48+O50+O49</f>
        <v>2820267.0976800001</v>
      </c>
      <c r="P38" s="17">
        <f>P39+P48+P50+P49</f>
        <v>2473144.59968</v>
      </c>
      <c r="Q38" s="30">
        <f t="shared" si="4"/>
        <v>347122.49800000014</v>
      </c>
      <c r="R38" s="31">
        <f t="shared" si="9"/>
        <v>1.0762376990700337</v>
      </c>
      <c r="S38" s="17">
        <f>S39+S48+S50+S49</f>
        <v>301598.82186999999</v>
      </c>
      <c r="T38" s="17">
        <f>T39+T48+T50+T49</f>
        <v>298725.20556000003</v>
      </c>
      <c r="U38" s="30">
        <f t="shared" si="5"/>
        <v>2873.616309999954</v>
      </c>
      <c r="V38" s="17">
        <f>V39+V48+V50+V49</f>
        <v>274000.15999999997</v>
      </c>
      <c r="W38" s="17">
        <f>W39+W48+W50+W49</f>
        <v>224000.15999999997</v>
      </c>
      <c r="X38" s="30">
        <f t="shared" si="6"/>
        <v>50000</v>
      </c>
      <c r="Y38" s="17">
        <f>Y39+Y48+Y50+Y49</f>
        <v>2816382.6954600001</v>
      </c>
      <c r="Z38" s="17">
        <f>Z39+Z48+Z50+Z49</f>
        <v>2466386.58115</v>
      </c>
      <c r="AA38" s="30">
        <f t="shared" si="7"/>
        <v>349996.11431000009</v>
      </c>
      <c r="AB38" s="31">
        <f t="shared" si="8"/>
        <v>1.0851472172467682</v>
      </c>
    </row>
    <row r="39" spans="1:28" ht="26.25" x14ac:dyDescent="0.25">
      <c r="A39" s="24" t="s">
        <v>58</v>
      </c>
      <c r="B39" s="25" t="s">
        <v>59</v>
      </c>
      <c r="C39" s="39">
        <f>C40+C44+C46+C47</f>
        <v>2420962.1232000003</v>
      </c>
      <c r="D39" s="39">
        <f>D40+D44+D46+D47</f>
        <v>2135539.2911399999</v>
      </c>
      <c r="E39" s="18">
        <f t="shared" si="0"/>
        <v>285422.83206000039</v>
      </c>
      <c r="F39" s="39">
        <f>F40+F44+F46+F47</f>
        <v>352985.88926999999</v>
      </c>
      <c r="G39" s="39">
        <f>G40+G44+G46+G47</f>
        <v>352985.88926999999</v>
      </c>
      <c r="H39" s="18">
        <f t="shared" si="1"/>
        <v>0</v>
      </c>
      <c r="I39" s="39">
        <f>I40+I44+I46+I47</f>
        <v>162137.06266999998</v>
      </c>
      <c r="J39" s="39">
        <f>J40+J44+J46+J47</f>
        <v>160941.46266999998</v>
      </c>
      <c r="K39" s="18">
        <f t="shared" si="2"/>
        <v>1195.6000000000058</v>
      </c>
      <c r="L39" s="39">
        <f>L40+L44+L46+L47</f>
        <v>2820267.0976800001</v>
      </c>
      <c r="M39" s="39">
        <f>M40+M44+M46+M47</f>
        <v>2473144.59968</v>
      </c>
      <c r="N39" s="18">
        <f t="shared" si="3"/>
        <v>347122.49800000014</v>
      </c>
      <c r="O39" s="39">
        <f>O40+O44+O46+O47</f>
        <v>2820267.0976800001</v>
      </c>
      <c r="P39" s="39">
        <f>P40+P44+P46+P47</f>
        <v>2473144.59968</v>
      </c>
      <c r="Q39" s="18">
        <f t="shared" si="4"/>
        <v>347122.49800000014</v>
      </c>
      <c r="R39" s="19">
        <f t="shared" si="9"/>
        <v>1.2161693424968523</v>
      </c>
      <c r="S39" s="39">
        <f>S40+S44+S46+S47</f>
        <v>298977.20556000003</v>
      </c>
      <c r="T39" s="39">
        <f>T40+T44+T46+T47</f>
        <v>298725.20556000003</v>
      </c>
      <c r="U39" s="18">
        <f t="shared" si="5"/>
        <v>252</v>
      </c>
      <c r="V39" s="39">
        <f>V40+V44+V46+V47</f>
        <v>274000.15999999997</v>
      </c>
      <c r="W39" s="39">
        <f>W40+W44+W46+W47</f>
        <v>224000.15999999997</v>
      </c>
      <c r="X39" s="18">
        <f t="shared" si="6"/>
        <v>50000</v>
      </c>
      <c r="Y39" s="39">
        <f>Y40+Y44+Y46+Y47</f>
        <v>2813761.0791499997</v>
      </c>
      <c r="Z39" s="39">
        <f>Z40+Z44+Z46+Z47</f>
        <v>2466386.58115</v>
      </c>
      <c r="AA39" s="18">
        <f t="shared" si="7"/>
        <v>347374.49799999967</v>
      </c>
      <c r="AB39" s="19">
        <f t="shared" si="8"/>
        <v>1.2170522431330093</v>
      </c>
    </row>
    <row r="40" spans="1:28" x14ac:dyDescent="0.25">
      <c r="A40" s="24" t="s">
        <v>18</v>
      </c>
      <c r="B40" s="25" t="s">
        <v>60</v>
      </c>
      <c r="C40" s="26">
        <f>C41+C42+C43</f>
        <v>284227.23206000001</v>
      </c>
      <c r="D40" s="117"/>
      <c r="E40" s="18">
        <f>C40-D40</f>
        <v>284227.23206000001</v>
      </c>
      <c r="F40" s="26">
        <f>F41+F42+F43</f>
        <v>0</v>
      </c>
      <c r="G40" s="117"/>
      <c r="H40" s="18">
        <f>F40-G40</f>
        <v>0</v>
      </c>
      <c r="I40" s="26">
        <f>I41+I42+I43</f>
        <v>0</v>
      </c>
      <c r="J40" s="117"/>
      <c r="K40" s="18">
        <f>I40-J40</f>
        <v>0</v>
      </c>
      <c r="L40" s="26">
        <f>L41+L42+L43</f>
        <v>347122.49800000002</v>
      </c>
      <c r="M40" s="117"/>
      <c r="N40" s="18">
        <f>L40-M40</f>
        <v>347122.49800000002</v>
      </c>
      <c r="O40" s="26">
        <f>O41+O42+O43</f>
        <v>347122.49800000002</v>
      </c>
      <c r="P40" s="117"/>
      <c r="Q40" s="18">
        <f>O40-P40</f>
        <v>347122.49800000002</v>
      </c>
      <c r="R40" s="19">
        <f t="shared" si="9"/>
        <v>1.2212851509130656</v>
      </c>
      <c r="S40" s="26">
        <f>S41+S42+S43</f>
        <v>0</v>
      </c>
      <c r="T40" s="117"/>
      <c r="U40" s="18">
        <f>S40-T40</f>
        <v>0</v>
      </c>
      <c r="V40" s="26">
        <f>V41+V42+V43</f>
        <v>50000</v>
      </c>
      <c r="W40" s="117"/>
      <c r="X40" s="18">
        <f>V40-W40</f>
        <v>50000</v>
      </c>
      <c r="Y40" s="26">
        <f>Y41+Y42+Y43</f>
        <v>347122.49800000002</v>
      </c>
      <c r="Z40" s="26">
        <f>Z41+Z42+Z43</f>
        <v>0</v>
      </c>
      <c r="AA40" s="18">
        <f>Y40-Z40</f>
        <v>347122.49800000002</v>
      </c>
      <c r="AB40" s="19">
        <f t="shared" si="8"/>
        <v>1.2212851509130656</v>
      </c>
    </row>
    <row r="41" spans="1:28" x14ac:dyDescent="0.25">
      <c r="A41" s="24"/>
      <c r="B41" s="25" t="s">
        <v>61</v>
      </c>
      <c r="C41" s="26">
        <v>240840.44</v>
      </c>
      <c r="D41" s="117"/>
      <c r="E41" s="18">
        <f>C41-D41</f>
        <v>240840.44</v>
      </c>
      <c r="F41" s="26"/>
      <c r="G41" s="117"/>
      <c r="H41" s="18">
        <f>F41-G41</f>
        <v>0</v>
      </c>
      <c r="I41" s="26">
        <v>0</v>
      </c>
      <c r="J41" s="117"/>
      <c r="K41" s="18">
        <f t="shared" si="2"/>
        <v>0</v>
      </c>
      <c r="L41" s="26">
        <v>347122.49800000002</v>
      </c>
      <c r="M41" s="117"/>
      <c r="N41" s="18">
        <f t="shared" si="3"/>
        <v>347122.49800000002</v>
      </c>
      <c r="O41" s="26">
        <f>L41</f>
        <v>347122.49800000002</v>
      </c>
      <c r="P41" s="117"/>
      <c r="Q41" s="18">
        <f t="shared" si="4"/>
        <v>347122.49800000002</v>
      </c>
      <c r="R41" s="19">
        <f>Q41/E41</f>
        <v>1.4412965613250002</v>
      </c>
      <c r="S41" s="26"/>
      <c r="T41" s="117"/>
      <c r="U41" s="18">
        <f t="shared" si="5"/>
        <v>0</v>
      </c>
      <c r="V41" s="26">
        <v>50000</v>
      </c>
      <c r="W41" s="117"/>
      <c r="X41" s="18">
        <f t="shared" si="6"/>
        <v>50000</v>
      </c>
      <c r="Y41" s="26">
        <f>L41</f>
        <v>347122.49800000002</v>
      </c>
      <c r="Z41" s="117">
        <f>P41</f>
        <v>0</v>
      </c>
      <c r="AA41" s="18">
        <f t="shared" si="7"/>
        <v>347122.49800000002</v>
      </c>
      <c r="AB41" s="19">
        <f>AA41/E41</f>
        <v>1.4412965613250002</v>
      </c>
    </row>
    <row r="42" spans="1:28" x14ac:dyDescent="0.25">
      <c r="A42" s="24"/>
      <c r="B42" s="25" t="s">
        <v>62</v>
      </c>
      <c r="C42" s="26">
        <v>41665.506999999998</v>
      </c>
      <c r="D42" s="117"/>
      <c r="E42" s="18">
        <f t="shared" si="0"/>
        <v>41665.506999999998</v>
      </c>
      <c r="F42" s="26"/>
      <c r="G42" s="117"/>
      <c r="H42" s="18">
        <f t="shared" si="1"/>
        <v>0</v>
      </c>
      <c r="I42" s="26">
        <v>0</v>
      </c>
      <c r="J42" s="117"/>
      <c r="K42" s="18">
        <f t="shared" si="2"/>
        <v>0</v>
      </c>
      <c r="L42" s="26">
        <v>0</v>
      </c>
      <c r="M42" s="117"/>
      <c r="N42" s="18">
        <f t="shared" si="3"/>
        <v>0</v>
      </c>
      <c r="O42" s="26"/>
      <c r="P42" s="117"/>
      <c r="Q42" s="18">
        <f t="shared" si="4"/>
        <v>0</v>
      </c>
      <c r="R42" s="19">
        <f t="shared" si="9"/>
        <v>0</v>
      </c>
      <c r="S42" s="26"/>
      <c r="T42" s="117"/>
      <c r="U42" s="18">
        <f t="shared" si="5"/>
        <v>0</v>
      </c>
      <c r="V42" s="26"/>
      <c r="W42" s="117"/>
      <c r="X42" s="18">
        <f t="shared" si="6"/>
        <v>0</v>
      </c>
      <c r="Y42" s="26">
        <f t="shared" ref="Y42:Y43" si="24">O42</f>
        <v>0</v>
      </c>
      <c r="Z42" s="117">
        <f t="shared" ref="Z42:Z48" si="25">P42</f>
        <v>0</v>
      </c>
      <c r="AA42" s="18">
        <f t="shared" si="7"/>
        <v>0</v>
      </c>
      <c r="AB42" s="19">
        <f t="shared" si="8"/>
        <v>0</v>
      </c>
    </row>
    <row r="43" spans="1:28" x14ac:dyDescent="0.25">
      <c r="A43" s="24"/>
      <c r="B43" s="25" t="s">
        <v>63</v>
      </c>
      <c r="C43" s="26">
        <v>1721.2850599999999</v>
      </c>
      <c r="D43" s="117"/>
      <c r="E43" s="18">
        <f t="shared" si="0"/>
        <v>1721.2850599999999</v>
      </c>
      <c r="F43" s="26"/>
      <c r="G43" s="117"/>
      <c r="H43" s="18">
        <f t="shared" si="1"/>
        <v>0</v>
      </c>
      <c r="I43" s="26"/>
      <c r="J43" s="117"/>
      <c r="K43" s="18">
        <f t="shared" si="2"/>
        <v>0</v>
      </c>
      <c r="L43" s="26"/>
      <c r="M43" s="117"/>
      <c r="N43" s="18">
        <f t="shared" si="3"/>
        <v>0</v>
      </c>
      <c r="O43" s="26"/>
      <c r="P43" s="117"/>
      <c r="Q43" s="18">
        <f t="shared" si="4"/>
        <v>0</v>
      </c>
      <c r="R43" s="19">
        <f t="shared" si="9"/>
        <v>0</v>
      </c>
      <c r="S43" s="26"/>
      <c r="T43" s="117"/>
      <c r="U43" s="18">
        <f t="shared" si="5"/>
        <v>0</v>
      </c>
      <c r="V43" s="26"/>
      <c r="W43" s="117"/>
      <c r="X43" s="18">
        <f t="shared" si="6"/>
        <v>0</v>
      </c>
      <c r="Y43" s="26">
        <f t="shared" si="24"/>
        <v>0</v>
      </c>
      <c r="Z43" s="117">
        <f t="shared" si="25"/>
        <v>0</v>
      </c>
      <c r="AA43" s="18">
        <f t="shared" si="7"/>
        <v>0</v>
      </c>
      <c r="AB43" s="19">
        <f t="shared" si="8"/>
        <v>0</v>
      </c>
    </row>
    <row r="44" spans="1:28" x14ac:dyDescent="0.25">
      <c r="A44" s="24" t="s">
        <v>20</v>
      </c>
      <c r="B44" s="25" t="s">
        <v>64</v>
      </c>
      <c r="C44" s="26">
        <v>915191.54888999998</v>
      </c>
      <c r="D44" s="117">
        <f>C44</f>
        <v>915191.54888999998</v>
      </c>
      <c r="E44" s="18">
        <f t="shared" si="0"/>
        <v>0</v>
      </c>
      <c r="F44" s="26">
        <f>120585.92577</f>
        <v>120585.92577</v>
      </c>
      <c r="G44" s="117">
        <f>F44</f>
        <v>120585.92577</v>
      </c>
      <c r="H44" s="18">
        <f t="shared" si="1"/>
        <v>0</v>
      </c>
      <c r="I44" s="26">
        <f>162524.0054-F44</f>
        <v>41938.079629999993</v>
      </c>
      <c r="J44" s="117">
        <f>I44</f>
        <v>41938.079629999993</v>
      </c>
      <c r="K44" s="18">
        <f t="shared" si="2"/>
        <v>0</v>
      </c>
      <c r="L44" s="26">
        <v>1232283.9196899999</v>
      </c>
      <c r="M44" s="117">
        <f>L44</f>
        <v>1232283.9196899999</v>
      </c>
      <c r="N44" s="18">
        <f t="shared" si="3"/>
        <v>0</v>
      </c>
      <c r="O44" s="26">
        <f>L44</f>
        <v>1232283.9196899999</v>
      </c>
      <c r="P44" s="117">
        <f>O44</f>
        <v>1232283.9196899999</v>
      </c>
      <c r="Q44" s="18">
        <f t="shared" si="4"/>
        <v>0</v>
      </c>
      <c r="R44" s="19" t="e">
        <f t="shared" si="9"/>
        <v>#DIV/0!</v>
      </c>
      <c r="S44" s="26">
        <v>85650.299369999993</v>
      </c>
      <c r="T44" s="117">
        <f>S44</f>
        <v>85650.299369999993</v>
      </c>
      <c r="U44" s="18">
        <f t="shared" si="5"/>
        <v>0</v>
      </c>
      <c r="V44" s="26">
        <f>27748.5+V45</f>
        <v>132475.35999999999</v>
      </c>
      <c r="W44" s="26">
        <f>V44</f>
        <v>132475.35999999999</v>
      </c>
      <c r="X44" s="18">
        <f t="shared" si="6"/>
        <v>0</v>
      </c>
      <c r="Y44" s="26">
        <f>O44+4250+14820-61319.8+10200-0.05051+763.5+1937.3</f>
        <v>1202934.8691799999</v>
      </c>
      <c r="Z44" s="117">
        <f>Y44</f>
        <v>1202934.8691799999</v>
      </c>
      <c r="AA44" s="18">
        <f t="shared" si="7"/>
        <v>0</v>
      </c>
      <c r="AB44" s="19" t="e">
        <f t="shared" si="8"/>
        <v>#DIV/0!</v>
      </c>
    </row>
    <row r="45" spans="1:28" x14ac:dyDescent="0.25">
      <c r="A45" s="24"/>
      <c r="B45" s="25" t="s">
        <v>65</v>
      </c>
      <c r="C45" s="26">
        <v>125690.16314</v>
      </c>
      <c r="D45" s="117">
        <f>C45</f>
        <v>125690.16314</v>
      </c>
      <c r="E45" s="18">
        <f t="shared" si="0"/>
        <v>0</v>
      </c>
      <c r="F45" s="26">
        <v>24839.281070000001</v>
      </c>
      <c r="G45" s="117">
        <f>F45</f>
        <v>24839.281070000001</v>
      </c>
      <c r="H45" s="18">
        <f t="shared" si="1"/>
        <v>0</v>
      </c>
      <c r="I45" s="26">
        <f>24839.28107-F45</f>
        <v>0</v>
      </c>
      <c r="J45" s="117">
        <f>24839.28107-G45</f>
        <v>0</v>
      </c>
      <c r="K45" s="18">
        <f t="shared" si="2"/>
        <v>0</v>
      </c>
      <c r="L45" s="26">
        <v>283279.57037999999</v>
      </c>
      <c r="M45" s="117">
        <f t="shared" ref="M45:M47" si="26">L45</f>
        <v>283279.57037999999</v>
      </c>
      <c r="N45" s="18">
        <f t="shared" si="3"/>
        <v>0</v>
      </c>
      <c r="O45" s="26">
        <f>L45</f>
        <v>283279.57037999999</v>
      </c>
      <c r="P45" s="117">
        <f>O45</f>
        <v>283279.57037999999</v>
      </c>
      <c r="Q45" s="18">
        <f t="shared" si="4"/>
        <v>0</v>
      </c>
      <c r="R45" s="19" t="e">
        <f t="shared" si="9"/>
        <v>#DIV/0!</v>
      </c>
      <c r="S45" s="26">
        <v>937.16857000000005</v>
      </c>
      <c r="T45" s="117">
        <f>S45</f>
        <v>937.16857000000005</v>
      </c>
      <c r="U45" s="18">
        <f t="shared" si="5"/>
        <v>0</v>
      </c>
      <c r="V45" s="26">
        <f>V64</f>
        <v>104726.86</v>
      </c>
      <c r="W45" s="117">
        <f>W64</f>
        <v>103683.99099999999</v>
      </c>
      <c r="X45" s="18">
        <f t="shared" si="6"/>
        <v>1042.8690000000061</v>
      </c>
      <c r="Y45" s="26">
        <f t="shared" ref="Y45:Y48" si="27">O45</f>
        <v>283279.57037999999</v>
      </c>
      <c r="Z45" s="117">
        <f t="shared" ref="Z45:Z47" si="28">P45</f>
        <v>283279.57037999999</v>
      </c>
      <c r="AA45" s="18">
        <f t="shared" si="7"/>
        <v>0</v>
      </c>
      <c r="AB45" s="19" t="e">
        <f t="shared" si="8"/>
        <v>#DIV/0!</v>
      </c>
    </row>
    <row r="46" spans="1:28" x14ac:dyDescent="0.25">
      <c r="A46" s="24" t="s">
        <v>22</v>
      </c>
      <c r="B46" s="25" t="s">
        <v>66</v>
      </c>
      <c r="C46" s="26">
        <v>1098742.22691</v>
      </c>
      <c r="D46" s="117">
        <f>C46</f>
        <v>1098742.22691</v>
      </c>
      <c r="E46" s="18">
        <f t="shared" si="0"/>
        <v>0</v>
      </c>
      <c r="F46" s="26">
        <f>211508.1635</f>
        <v>211508.1635</v>
      </c>
      <c r="G46" s="117">
        <f>F46</f>
        <v>211508.1635</v>
      </c>
      <c r="H46" s="18">
        <f t="shared" si="1"/>
        <v>0</v>
      </c>
      <c r="I46" s="26">
        <f>321452.14654-F46</f>
        <v>109943.98303999999</v>
      </c>
      <c r="J46" s="117">
        <f>I46</f>
        <v>109943.98303999999</v>
      </c>
      <c r="K46" s="18">
        <f t="shared" si="2"/>
        <v>0</v>
      </c>
      <c r="L46" s="26">
        <v>1159777.07999</v>
      </c>
      <c r="M46" s="117">
        <f t="shared" si="26"/>
        <v>1159777.07999</v>
      </c>
      <c r="N46" s="18">
        <f t="shared" si="3"/>
        <v>0</v>
      </c>
      <c r="O46" s="26">
        <f>L46</f>
        <v>1159777.07999</v>
      </c>
      <c r="P46" s="117">
        <f>O46</f>
        <v>1159777.07999</v>
      </c>
      <c r="Q46" s="18">
        <f t="shared" si="4"/>
        <v>0</v>
      </c>
      <c r="R46" s="19" t="e">
        <f t="shared" si="9"/>
        <v>#DIV/0!</v>
      </c>
      <c r="S46" s="26">
        <v>193874.37132999999</v>
      </c>
      <c r="T46" s="117">
        <f>S46</f>
        <v>193874.37132999999</v>
      </c>
      <c r="U46" s="18">
        <f t="shared" si="5"/>
        <v>0</v>
      </c>
      <c r="V46" s="26">
        <v>84112.3</v>
      </c>
      <c r="W46" s="117">
        <f>V46</f>
        <v>84112.3</v>
      </c>
      <c r="X46" s="18">
        <f t="shared" si="6"/>
        <v>0</v>
      </c>
      <c r="Y46" s="26">
        <f>O46+36.72619+119.69423-19.08844+1830</f>
        <v>1161744.41197</v>
      </c>
      <c r="Z46" s="117">
        <f>Y46</f>
        <v>1161744.41197</v>
      </c>
      <c r="AA46" s="18">
        <f t="shared" si="7"/>
        <v>0</v>
      </c>
      <c r="AB46" s="19" t="e">
        <f t="shared" si="8"/>
        <v>#DIV/0!</v>
      </c>
    </row>
    <row r="47" spans="1:28" x14ac:dyDescent="0.25">
      <c r="A47" s="24" t="s">
        <v>28</v>
      </c>
      <c r="B47" s="25" t="s">
        <v>67</v>
      </c>
      <c r="C47" s="26">
        <v>122801.11534</v>
      </c>
      <c r="D47" s="117">
        <v>121605.51534</v>
      </c>
      <c r="E47" s="18">
        <f t="shared" si="0"/>
        <v>1195.6000000000058</v>
      </c>
      <c r="F47" s="26">
        <f>20891.8</f>
        <v>20891.8</v>
      </c>
      <c r="G47" s="117">
        <f>20891.8</f>
        <v>20891.8</v>
      </c>
      <c r="H47" s="18">
        <f t="shared" si="1"/>
        <v>0</v>
      </c>
      <c r="I47" s="26">
        <f>31146.8-F47</f>
        <v>10255</v>
      </c>
      <c r="J47" s="117">
        <f>29951.2-G47</f>
        <v>9059.4000000000015</v>
      </c>
      <c r="K47" s="18">
        <f t="shared" si="2"/>
        <v>1195.5999999999985</v>
      </c>
      <c r="L47" s="26">
        <v>81083.600000000006</v>
      </c>
      <c r="M47" s="117">
        <f t="shared" si="26"/>
        <v>81083.600000000006</v>
      </c>
      <c r="N47" s="18">
        <f t="shared" si="3"/>
        <v>0</v>
      </c>
      <c r="O47" s="26">
        <f>L47</f>
        <v>81083.600000000006</v>
      </c>
      <c r="P47" s="117">
        <f>O47</f>
        <v>81083.600000000006</v>
      </c>
      <c r="Q47" s="18">
        <f t="shared" si="4"/>
        <v>0</v>
      </c>
      <c r="R47" s="19">
        <f t="shared" si="9"/>
        <v>0</v>
      </c>
      <c r="S47" s="26">
        <v>19452.53486</v>
      </c>
      <c r="T47" s="117">
        <v>19200.53486</v>
      </c>
      <c r="U47" s="18">
        <f t="shared" si="5"/>
        <v>252</v>
      </c>
      <c r="V47" s="26">
        <v>7412.5</v>
      </c>
      <c r="W47" s="117">
        <f>V47</f>
        <v>7412.5</v>
      </c>
      <c r="X47" s="18">
        <f t="shared" si="6"/>
        <v>0</v>
      </c>
      <c r="Y47" s="26">
        <f>O47-700+3000+252+18323.7</f>
        <v>101959.3</v>
      </c>
      <c r="Z47" s="117">
        <f>P47-700+3000+18323.7</f>
        <v>101707.3</v>
      </c>
      <c r="AA47" s="18">
        <f t="shared" si="7"/>
        <v>252</v>
      </c>
      <c r="AB47" s="19">
        <f t="shared" si="8"/>
        <v>0.21077283372365238</v>
      </c>
    </row>
    <row r="48" spans="1:28" x14ac:dyDescent="0.25">
      <c r="A48" s="24" t="s">
        <v>68</v>
      </c>
      <c r="B48" s="25" t="s">
        <v>69</v>
      </c>
      <c r="C48" s="26">
        <v>167090</v>
      </c>
      <c r="D48" s="26">
        <f>C48</f>
        <v>167090</v>
      </c>
      <c r="E48" s="18">
        <f>C48-D48</f>
        <v>0</v>
      </c>
      <c r="F48" s="26"/>
      <c r="G48" s="26">
        <f>F48</f>
        <v>0</v>
      </c>
      <c r="H48" s="18">
        <f t="shared" si="1"/>
        <v>0</v>
      </c>
      <c r="I48" s="26">
        <f>167090-F48</f>
        <v>167090</v>
      </c>
      <c r="J48" s="26">
        <f>I48</f>
        <v>167090</v>
      </c>
      <c r="K48" s="18">
        <f t="shared" si="2"/>
        <v>0</v>
      </c>
      <c r="L48" s="26"/>
      <c r="M48" s="26"/>
      <c r="N48" s="18">
        <f t="shared" si="3"/>
        <v>0</v>
      </c>
      <c r="O48" s="26"/>
      <c r="P48" s="26"/>
      <c r="Q48" s="18">
        <f t="shared" si="4"/>
        <v>0</v>
      </c>
      <c r="R48" s="19" t="e">
        <f t="shared" si="9"/>
        <v>#DIV/0!</v>
      </c>
      <c r="S48" s="26"/>
      <c r="T48" s="26"/>
      <c r="U48" s="18">
        <f t="shared" si="5"/>
        <v>0</v>
      </c>
      <c r="V48" s="26"/>
      <c r="W48" s="26"/>
      <c r="X48" s="18">
        <f t="shared" si="6"/>
        <v>0</v>
      </c>
      <c r="Y48" s="26"/>
      <c r="Z48" s="117">
        <f t="shared" si="25"/>
        <v>0</v>
      </c>
      <c r="AA48" s="18">
        <f t="shared" si="7"/>
        <v>0</v>
      </c>
      <c r="AB48" s="19" t="e">
        <f t="shared" si="8"/>
        <v>#DIV/0!</v>
      </c>
    </row>
    <row r="49" spans="1:28" ht="51.75" x14ac:dyDescent="0.25">
      <c r="A49" s="24" t="s">
        <v>70</v>
      </c>
      <c r="B49" s="25" t="s">
        <v>71</v>
      </c>
      <c r="C49" s="26">
        <v>399553.10664999997</v>
      </c>
      <c r="D49" s="26">
        <f>2298.18936+360144.44811</f>
        <v>362442.63747000002</v>
      </c>
      <c r="E49" s="18">
        <f>C49-D49</f>
        <v>37110.469179999956</v>
      </c>
      <c r="F49" s="26">
        <f>2443.81595+5420.50186+112.43254</f>
        <v>7976.7503500000003</v>
      </c>
      <c r="G49" s="26">
        <f>2298.18936</f>
        <v>2298.1893599999999</v>
      </c>
      <c r="H49" s="18">
        <f t="shared" si="1"/>
        <v>5678.5609899999999</v>
      </c>
      <c r="I49" s="26">
        <f>2445.74977+5420.50186+112.43254-F49</f>
        <v>1.9338200000001962</v>
      </c>
      <c r="J49" s="26">
        <f>2298.18936-G49</f>
        <v>0</v>
      </c>
      <c r="K49" s="18">
        <f t="shared" si="2"/>
        <v>1.9338200000001962</v>
      </c>
      <c r="L49" s="26"/>
      <c r="M49" s="26"/>
      <c r="N49" s="18">
        <f t="shared" si="3"/>
        <v>0</v>
      </c>
      <c r="O49" s="26"/>
      <c r="P49" s="26"/>
      <c r="Q49" s="18">
        <f t="shared" si="4"/>
        <v>0</v>
      </c>
      <c r="R49" s="19">
        <f t="shared" si="9"/>
        <v>0</v>
      </c>
      <c r="S49" s="26">
        <v>3739.7035500000002</v>
      </c>
      <c r="T49" s="26">
        <v>1118.0872400000001</v>
      </c>
      <c r="U49" s="18">
        <f t="shared" si="5"/>
        <v>2621.6163100000003</v>
      </c>
      <c r="V49" s="26"/>
      <c r="W49" s="26"/>
      <c r="X49" s="18">
        <f t="shared" si="6"/>
        <v>0</v>
      </c>
      <c r="Y49" s="26">
        <f>S49</f>
        <v>3739.7035500000002</v>
      </c>
      <c r="Z49" s="117">
        <f>T49</f>
        <v>1118.0872400000001</v>
      </c>
      <c r="AA49" s="18">
        <f t="shared" si="7"/>
        <v>2621.6163100000003</v>
      </c>
      <c r="AB49" s="19">
        <f t="shared" si="8"/>
        <v>7.0643577619139211E-2</v>
      </c>
    </row>
    <row r="50" spans="1:28" ht="39" x14ac:dyDescent="0.25">
      <c r="A50" s="24" t="s">
        <v>72</v>
      </c>
      <c r="B50" s="25" t="s">
        <v>73</v>
      </c>
      <c r="C50" s="26">
        <v>-359058.46286999999</v>
      </c>
      <c r="D50" s="26">
        <v>-359058.46286999999</v>
      </c>
      <c r="E50" s="18">
        <f t="shared" si="0"/>
        <v>0</v>
      </c>
      <c r="F50" s="26">
        <f>-2299.99113</f>
        <v>-2299.9911299999999</v>
      </c>
      <c r="G50" s="26">
        <f>-2299.99113</f>
        <v>-2299.9911299999999</v>
      </c>
      <c r="H50" s="18">
        <f t="shared" si="1"/>
        <v>0</v>
      </c>
      <c r="I50" s="26">
        <f>-2300.66613-F50</f>
        <v>-0.6750000000001819</v>
      </c>
      <c r="J50" s="26">
        <f>I50</f>
        <v>-0.6750000000001819</v>
      </c>
      <c r="K50" s="18">
        <f t="shared" si="2"/>
        <v>0</v>
      </c>
      <c r="L50" s="26"/>
      <c r="M50" s="26"/>
      <c r="N50" s="18">
        <f t="shared" si="3"/>
        <v>0</v>
      </c>
      <c r="O50" s="26"/>
      <c r="P50" s="26"/>
      <c r="Q50" s="18">
        <f t="shared" si="4"/>
        <v>0</v>
      </c>
      <c r="R50" s="19" t="e">
        <f t="shared" si="9"/>
        <v>#DIV/0!</v>
      </c>
      <c r="S50" s="26">
        <v>-1118.0872400000001</v>
      </c>
      <c r="T50" s="26">
        <f>S50</f>
        <v>-1118.0872400000001</v>
      </c>
      <c r="U50" s="18">
        <f t="shared" si="5"/>
        <v>0</v>
      </c>
      <c r="V50" s="26"/>
      <c r="W50" s="26"/>
      <c r="X50" s="18">
        <f t="shared" si="6"/>
        <v>0</v>
      </c>
      <c r="Y50" s="26">
        <f>S50</f>
        <v>-1118.0872400000001</v>
      </c>
      <c r="Z50" s="117">
        <f>T50</f>
        <v>-1118.0872400000001</v>
      </c>
      <c r="AA50" s="18">
        <f t="shared" si="7"/>
        <v>0</v>
      </c>
      <c r="AB50" s="19" t="e">
        <f t="shared" si="8"/>
        <v>#DIV/0!</v>
      </c>
    </row>
    <row r="51" spans="1:28" x14ac:dyDescent="0.25">
      <c r="A51" s="40"/>
      <c r="B51" s="41" t="s">
        <v>74</v>
      </c>
      <c r="C51" s="18">
        <f t="shared" ref="C51:Q51" si="29">C6</f>
        <v>3840283.8824300002</v>
      </c>
      <c r="D51" s="18">
        <f t="shared" si="29"/>
        <v>2308541.6885099998</v>
      </c>
      <c r="E51" s="18">
        <f t="shared" si="29"/>
        <v>1531742.1939200005</v>
      </c>
      <c r="F51" s="18">
        <f t="shared" si="29"/>
        <v>587685.17943999998</v>
      </c>
      <c r="G51" s="18">
        <f t="shared" si="29"/>
        <v>353820.63527000003</v>
      </c>
      <c r="H51" s="18">
        <f t="shared" si="29"/>
        <v>233864.54416999995</v>
      </c>
      <c r="I51" s="18">
        <f t="shared" si="29"/>
        <v>426404.97352999996</v>
      </c>
      <c r="J51" s="18">
        <f t="shared" si="29"/>
        <v>328030.78766999999</v>
      </c>
      <c r="K51" s="18">
        <f t="shared" si="29"/>
        <v>98374.185859999969</v>
      </c>
      <c r="L51" s="18">
        <f t="shared" si="29"/>
        <v>3994461.72768</v>
      </c>
      <c r="M51" s="18">
        <f t="shared" si="29"/>
        <v>2473144.59968</v>
      </c>
      <c r="N51" s="18">
        <f t="shared" si="29"/>
        <v>1521317.128</v>
      </c>
      <c r="O51" s="18">
        <f t="shared" si="29"/>
        <v>3994461.72768</v>
      </c>
      <c r="P51" s="18">
        <f t="shared" si="29"/>
        <v>2473144.59968</v>
      </c>
      <c r="Q51" s="18">
        <f t="shared" si="29"/>
        <v>1521317.128</v>
      </c>
      <c r="R51" s="19">
        <f t="shared" si="9"/>
        <v>0.99319398136228076</v>
      </c>
      <c r="S51" s="18">
        <f t="shared" ref="S51:AA51" si="30">S6</f>
        <v>588157.67165999999</v>
      </c>
      <c r="T51" s="18">
        <f t="shared" si="30"/>
        <v>298725.20556000003</v>
      </c>
      <c r="U51" s="18">
        <f t="shared" si="30"/>
        <v>289432.46609999996</v>
      </c>
      <c r="V51" s="18">
        <f t="shared" si="30"/>
        <v>320028.13107</v>
      </c>
      <c r="W51" s="18">
        <f t="shared" si="30"/>
        <v>224000.15999999997</v>
      </c>
      <c r="X51" s="18">
        <f t="shared" si="30"/>
        <v>96027.971070000029</v>
      </c>
      <c r="Y51" s="18">
        <f t="shared" si="30"/>
        <v>3893251.125401</v>
      </c>
      <c r="Z51" s="18">
        <f t="shared" si="30"/>
        <v>2466187.2408400001</v>
      </c>
      <c r="AA51" s="18">
        <f t="shared" si="30"/>
        <v>1427063.8845609999</v>
      </c>
      <c r="AB51" s="19">
        <f t="shared" si="8"/>
        <v>0.9316606216277753</v>
      </c>
    </row>
    <row r="52" spans="1:28" x14ac:dyDescent="0.25">
      <c r="A52" s="42" t="s">
        <v>75</v>
      </c>
      <c r="B52" s="43" t="s">
        <v>76</v>
      </c>
      <c r="C52" s="44">
        <f>C53+C87</f>
        <v>3747292.3447799999</v>
      </c>
      <c r="D52" s="44">
        <f>D53+D87</f>
        <v>2187765.0036299997</v>
      </c>
      <c r="E52" s="45">
        <f>C52-D52</f>
        <v>1559527.3411500002</v>
      </c>
      <c r="F52" s="44">
        <f>F53+F87</f>
        <v>575204.65350999997</v>
      </c>
      <c r="G52" s="44">
        <f>G53+G87</f>
        <v>343180.60852000001</v>
      </c>
      <c r="H52" s="45">
        <f>F52-G52</f>
        <v>232024.04498999997</v>
      </c>
      <c r="I52" s="44">
        <f>I53+I87</f>
        <v>315367.34922000009</v>
      </c>
      <c r="J52" s="44">
        <f>J53+J87</f>
        <v>154683.09008000002</v>
      </c>
      <c r="K52" s="45">
        <f>I52-J52</f>
        <v>160684.25914000007</v>
      </c>
      <c r="L52" s="44">
        <f>L53+L87</f>
        <v>4109661.7451999998</v>
      </c>
      <c r="M52" s="44">
        <f>M53+M87</f>
        <v>2473144.59968</v>
      </c>
      <c r="N52" s="45">
        <f>L52-M52</f>
        <v>1636517.1455199998</v>
      </c>
      <c r="O52" s="44">
        <f>O53+O87</f>
        <v>4225670.92777</v>
      </c>
      <c r="P52" s="44">
        <f>P53+P87</f>
        <v>2589153.7822500002</v>
      </c>
      <c r="Q52" s="45">
        <f>O52-P52</f>
        <v>1636517.1455199998</v>
      </c>
      <c r="R52" s="46">
        <f>Q52/E52</f>
        <v>1.0493673963505039</v>
      </c>
      <c r="S52" s="44">
        <f>S53+S87</f>
        <v>623625.91636000003</v>
      </c>
      <c r="T52" s="44">
        <f>T53+T87</f>
        <v>299167.29453000001</v>
      </c>
      <c r="U52" s="45">
        <f>S52-T52</f>
        <v>324458.62183000002</v>
      </c>
      <c r="V52" s="44">
        <f>V53+V87</f>
        <v>316436.36</v>
      </c>
      <c r="W52" s="44">
        <f>W53+W87</f>
        <v>224337.391</v>
      </c>
      <c r="X52" s="45">
        <f>V52-W52</f>
        <v>92098.968999999983</v>
      </c>
      <c r="Y52" s="44">
        <f>Y53+Y87</f>
        <v>4256722.6793799996</v>
      </c>
      <c r="Z52" s="44">
        <f>Z53+Z87</f>
        <v>2589408.85983</v>
      </c>
      <c r="AA52" s="45">
        <f>Y52-Z52</f>
        <v>1667313.8195499997</v>
      </c>
      <c r="AB52" s="46">
        <f t="shared" si="8"/>
        <v>1.0691148372689108</v>
      </c>
    </row>
    <row r="53" spans="1:28" x14ac:dyDescent="0.25">
      <c r="A53" s="47">
        <v>1</v>
      </c>
      <c r="B53" s="48" t="s">
        <v>77</v>
      </c>
      <c r="C53" s="49">
        <f>C54+C58+C63+C64+C65+C66+C80+C81</f>
        <v>3452166.8724199999</v>
      </c>
      <c r="D53" s="49">
        <f>D54+D58+D63+D64+D65+D66+D80+D81</f>
        <v>2106767.5189399999</v>
      </c>
      <c r="E53" s="39">
        <f>C53-D53</f>
        <v>1345399.35348</v>
      </c>
      <c r="F53" s="49">
        <f>F54+F58+F63+F64+F65+F66+F80+F81</f>
        <v>549568.86980999995</v>
      </c>
      <c r="G53" s="49">
        <f>G54+G58+G63+G64+G65+G66+G80+G81</f>
        <v>342791.04452</v>
      </c>
      <c r="H53" s="39">
        <f>F53-G53</f>
        <v>206777.82528999995</v>
      </c>
      <c r="I53" s="49">
        <f>I54+I58+I63+I64+I65+I66+I80+I81</f>
        <v>300372.78785000008</v>
      </c>
      <c r="J53" s="49">
        <f>J54+J58+J63+J64+J65+J66+J80+J81</f>
        <v>154489.55866000001</v>
      </c>
      <c r="K53" s="39">
        <f>I53-J53</f>
        <v>145883.22919000007</v>
      </c>
      <c r="L53" s="49">
        <f>L54+L58+L63+L64+L65+L66+L80+L81</f>
        <v>3850499.08225</v>
      </c>
      <c r="M53" s="49">
        <f>M54+M58+M63+M64+M65+M66+M80+M81</f>
        <v>2421598.0477299998</v>
      </c>
      <c r="N53" s="39">
        <f>L53-M53</f>
        <v>1428901.0345200002</v>
      </c>
      <c r="O53" s="49">
        <f>O54+O58+O63+O64+O65+O66+O80+O81</f>
        <v>3962258.2648200002</v>
      </c>
      <c r="P53" s="49">
        <f>P54+P58+P63+P64+P65+P66+P80+P81</f>
        <v>2533357.2302999999</v>
      </c>
      <c r="Q53" s="39">
        <f>O53-P53</f>
        <v>1428901.0345200002</v>
      </c>
      <c r="R53" s="50">
        <f>Q53/E53</f>
        <v>1.0620646061885011</v>
      </c>
      <c r="S53" s="49">
        <f>S54+S58+S63+S64+S65+S66+S80+S81</f>
        <v>598912.59563</v>
      </c>
      <c r="T53" s="49">
        <f>T54+T58+T63+T64+T65+T66+T80+T81</f>
        <v>298990.21273000003</v>
      </c>
      <c r="U53" s="39">
        <f>S53-T53</f>
        <v>299922.38289999997</v>
      </c>
      <c r="V53" s="49">
        <f>V54+V58+V63+V64+V65+V66+V80+V81</f>
        <v>306887.86</v>
      </c>
      <c r="W53" s="49">
        <f>W54+W58+W63+W64+W65+W66+W80+W81</f>
        <v>224018.891</v>
      </c>
      <c r="X53" s="39">
        <f>V53-W53</f>
        <v>82868.968999999983</v>
      </c>
      <c r="Y53" s="49">
        <f>Y54+Y58+Y63+Y64+Y65+Y66+Y80+Y81</f>
        <v>3992697.1293000001</v>
      </c>
      <c r="Z53" s="49">
        <f>Z54+Z58+Z63+Z64+Z65+Z66+Z80+Z81</f>
        <v>2533612.3078799997</v>
      </c>
      <c r="AA53" s="39">
        <f>Y53-Z53</f>
        <v>1459084.8214200004</v>
      </c>
      <c r="AB53" s="50">
        <f t="shared" si="8"/>
        <v>1.0844994221574007</v>
      </c>
    </row>
    <row r="54" spans="1:28" ht="38.25" x14ac:dyDescent="0.25">
      <c r="A54" s="51" t="s">
        <v>13</v>
      </c>
      <c r="B54" s="32" t="s">
        <v>78</v>
      </c>
      <c r="C54" s="26">
        <f>C56+C57+2463.40078+1800.62364</f>
        <v>218269.59995999999</v>
      </c>
      <c r="D54" s="26">
        <f>D56+D57+193.81538</f>
        <v>21737.819650000001</v>
      </c>
      <c r="E54" s="39">
        <f t="shared" si="0"/>
        <v>196531.78031</v>
      </c>
      <c r="F54" s="26">
        <f>26813.5762+224.73965+859.87044+6380.14453</f>
        <v>34278.330819999996</v>
      </c>
      <c r="G54" s="26">
        <f>2276.03564+530.48349</f>
        <v>2806.5191300000001</v>
      </c>
      <c r="H54" s="39">
        <f t="shared" ref="H54:H105" si="31">F54-G54</f>
        <v>31471.811689999995</v>
      </c>
      <c r="I54" s="26">
        <f>41205.40024+399.12978+906.19544+9844.43079-F54</f>
        <v>18076.825430000012</v>
      </c>
      <c r="J54" s="26">
        <f>3381.1443+80+833.62239-G54</f>
        <v>1488.2475600000002</v>
      </c>
      <c r="K54" s="39">
        <f t="shared" ref="K54:K105" si="32">I54-J54</f>
        <v>16588.577870000012</v>
      </c>
      <c r="L54" s="26">
        <f>L56+L57+3490+1500</f>
        <v>212167.486</v>
      </c>
      <c r="M54" s="26">
        <f>M56+M57+30+60+30+150+60</f>
        <v>17866.91</v>
      </c>
      <c r="N54" s="39">
        <f t="shared" ref="N54:N105" si="33">L54-M54</f>
        <v>194300.576</v>
      </c>
      <c r="O54" s="26">
        <f>O56+O57+1601+1963.92344</f>
        <v>215091.94886999999</v>
      </c>
      <c r="P54" s="26">
        <f>P56+P57+312.6845</f>
        <v>21005.961030000002</v>
      </c>
      <c r="Q54" s="39">
        <f t="shared" ref="Q54:Q105" si="34">O54-P54</f>
        <v>194085.98783999999</v>
      </c>
      <c r="R54" s="50">
        <f>Q54/E54</f>
        <v>0.987555231697682</v>
      </c>
      <c r="S54" s="26">
        <f>S56+S57+561.76022+813.661</f>
        <v>44892.131979999998</v>
      </c>
      <c r="T54" s="26">
        <f>T56+T57+0</f>
        <v>5138.16554</v>
      </c>
      <c r="U54" s="39">
        <f t="shared" ref="U54:U105" si="35">S54-T54</f>
        <v>39753.966439999997</v>
      </c>
      <c r="V54" s="26">
        <f>V56+V57+114</f>
        <v>18273.300000000003</v>
      </c>
      <c r="W54" s="26">
        <f>W56+W57</f>
        <v>1838.9</v>
      </c>
      <c r="X54" s="39">
        <f t="shared" ref="X54:X105" si="36">V54-W54</f>
        <v>16434.400000000001</v>
      </c>
      <c r="Y54" s="26">
        <f>O54</f>
        <v>215091.94886999999</v>
      </c>
      <c r="Z54" s="26">
        <f>P54</f>
        <v>21005.961030000002</v>
      </c>
      <c r="AA54" s="39">
        <f t="shared" ref="AA54:AA105" si="37">Y54-Z54</f>
        <v>194085.98783999999</v>
      </c>
      <c r="AB54" s="50">
        <f t="shared" si="8"/>
        <v>0.987555231697682</v>
      </c>
    </row>
    <row r="55" spans="1:28" x14ac:dyDescent="0.25">
      <c r="A55" s="51"/>
      <c r="B55" s="32" t="s">
        <v>17</v>
      </c>
      <c r="C55" s="26"/>
      <c r="D55" s="26"/>
      <c r="E55" s="39"/>
      <c r="F55" s="26"/>
      <c r="G55" s="26"/>
      <c r="H55" s="39"/>
      <c r="I55" s="26"/>
      <c r="J55" s="26"/>
      <c r="K55" s="39"/>
      <c r="L55" s="26"/>
      <c r="M55" s="26"/>
      <c r="N55" s="39"/>
      <c r="O55" s="26"/>
      <c r="P55" s="26"/>
      <c r="Q55" s="39"/>
      <c r="R55" s="50"/>
      <c r="S55" s="26"/>
      <c r="T55" s="26"/>
      <c r="U55" s="39"/>
      <c r="V55" s="26"/>
      <c r="W55" s="26"/>
      <c r="X55" s="39"/>
      <c r="Y55" s="26"/>
      <c r="Z55" s="26"/>
      <c r="AA55" s="39"/>
      <c r="AB55" s="50"/>
    </row>
    <row r="56" spans="1:28" ht="25.5" x14ac:dyDescent="0.25">
      <c r="A56" s="51"/>
      <c r="B56" s="32" t="s">
        <v>79</v>
      </c>
      <c r="C56" s="26">
        <v>166036.53469999999</v>
      </c>
      <c r="D56" s="26">
        <v>16601.03571</v>
      </c>
      <c r="E56" s="39">
        <f t="shared" si="0"/>
        <v>149435.49898999999</v>
      </c>
      <c r="F56" s="26">
        <f>26813.5762</f>
        <v>26813.5762</v>
      </c>
      <c r="G56" s="26">
        <f>2276.03564</f>
        <v>2276.0356400000001</v>
      </c>
      <c r="H56" s="39">
        <f t="shared" si="31"/>
        <v>24537.540560000001</v>
      </c>
      <c r="I56" s="26">
        <f>41205.40024-F56</f>
        <v>14391.824040000003</v>
      </c>
      <c r="J56" s="26">
        <f>3381.1443-G56</f>
        <v>1105.1086599999999</v>
      </c>
      <c r="K56" s="39">
        <f t="shared" si="32"/>
        <v>13286.715380000003</v>
      </c>
      <c r="L56" s="26">
        <f>159130.9298</f>
        <v>159130.92980000001</v>
      </c>
      <c r="M56" s="26">
        <f>731.6+1923.555+2472.135+30.6828+5584.1+511.43+2217.238</f>
        <v>13470.740800000001</v>
      </c>
      <c r="N56" s="39">
        <f t="shared" si="33"/>
        <v>145660.18900000001</v>
      </c>
      <c r="O56" s="26">
        <f>166135.53066</f>
        <v>166135.53065999999</v>
      </c>
      <c r="P56" s="26">
        <v>15902.733270000001</v>
      </c>
      <c r="Q56" s="39">
        <f t="shared" si="34"/>
        <v>150232.79738999999</v>
      </c>
      <c r="R56" s="50">
        <f t="shared" ref="R56:R79" si="38">Q56/E56</f>
        <v>1.0053354015972695</v>
      </c>
      <c r="S56" s="26">
        <v>35522.666550000002</v>
      </c>
      <c r="T56" s="26">
        <v>4588.1136299999998</v>
      </c>
      <c r="U56" s="39">
        <f t="shared" si="35"/>
        <v>30934.552920000002</v>
      </c>
      <c r="V56" s="26">
        <v>13947.2</v>
      </c>
      <c r="W56" s="26">
        <v>1412.3</v>
      </c>
      <c r="X56" s="39">
        <f t="shared" si="36"/>
        <v>12534.900000000001</v>
      </c>
      <c r="Y56" s="26">
        <f t="shared" ref="Y56:Y66" si="39">O56</f>
        <v>166135.53065999999</v>
      </c>
      <c r="Z56" s="26">
        <f t="shared" ref="Z56:Z66" si="40">P56</f>
        <v>15902.733270000001</v>
      </c>
      <c r="AA56" s="39">
        <f t="shared" si="37"/>
        <v>150232.79738999999</v>
      </c>
      <c r="AB56" s="50">
        <f t="shared" si="8"/>
        <v>1.0053354015972695</v>
      </c>
    </row>
    <row r="57" spans="1:28" ht="25.5" x14ac:dyDescent="0.25">
      <c r="A57" s="51"/>
      <c r="B57" s="32" t="s">
        <v>80</v>
      </c>
      <c r="C57" s="26">
        <v>47969.040840000001</v>
      </c>
      <c r="D57" s="26">
        <v>4942.9685600000003</v>
      </c>
      <c r="E57" s="39">
        <f t="shared" si="0"/>
        <v>43026.07228</v>
      </c>
      <c r="F57" s="26">
        <f>6380.14453</f>
        <v>6380.1445299999996</v>
      </c>
      <c r="G57" s="26">
        <f>530.48349</f>
        <v>530.48348999999996</v>
      </c>
      <c r="H57" s="39">
        <f t="shared" si="31"/>
        <v>5849.66104</v>
      </c>
      <c r="I57" s="26">
        <f>9844.43079-F57</f>
        <v>3464.2862600000008</v>
      </c>
      <c r="J57" s="26">
        <f>833.62239-G57</f>
        <v>303.13890000000004</v>
      </c>
      <c r="K57" s="39">
        <f t="shared" si="32"/>
        <v>3161.1473600000008</v>
      </c>
      <c r="L57" s="26">
        <v>48046.556199999999</v>
      </c>
      <c r="M57" s="26">
        <f>220.031+580.914+9.2662+1686.398+153.37+669.605+746.585</f>
        <v>4066.1691999999998</v>
      </c>
      <c r="N57" s="39">
        <f t="shared" si="33"/>
        <v>43980.387000000002</v>
      </c>
      <c r="O57" s="26">
        <f>45391.49477</f>
        <v>45391.494769999998</v>
      </c>
      <c r="P57" s="26">
        <v>4790.5432600000004</v>
      </c>
      <c r="Q57" s="39">
        <f t="shared" si="34"/>
        <v>40600.951509999999</v>
      </c>
      <c r="R57" s="50">
        <f t="shared" si="38"/>
        <v>0.94363601784940798</v>
      </c>
      <c r="S57" s="26">
        <v>7994.04421</v>
      </c>
      <c r="T57" s="26">
        <v>550.05191000000002</v>
      </c>
      <c r="U57" s="39">
        <f t="shared" si="35"/>
        <v>7443.9922999999999</v>
      </c>
      <c r="V57" s="26">
        <v>4212.1000000000004</v>
      </c>
      <c r="W57" s="26">
        <v>426.6</v>
      </c>
      <c r="X57" s="39">
        <f t="shared" si="36"/>
        <v>3785.5000000000005</v>
      </c>
      <c r="Y57" s="26">
        <f t="shared" si="39"/>
        <v>45391.494769999998</v>
      </c>
      <c r="Z57" s="26">
        <f t="shared" si="40"/>
        <v>4790.5432600000004</v>
      </c>
      <c r="AA57" s="39">
        <f t="shared" si="37"/>
        <v>40600.951509999999</v>
      </c>
      <c r="AB57" s="50">
        <f t="shared" si="8"/>
        <v>0.94363601784940798</v>
      </c>
    </row>
    <row r="58" spans="1:28" ht="25.5" x14ac:dyDescent="0.25">
      <c r="A58" s="51" t="s">
        <v>56</v>
      </c>
      <c r="B58" s="32" t="s">
        <v>81</v>
      </c>
      <c r="C58" s="26">
        <f>504337.97388-C92</f>
        <v>310913.15695999999</v>
      </c>
      <c r="D58" s="26">
        <f>236672.48456-D92</f>
        <v>156203.85686</v>
      </c>
      <c r="E58" s="39">
        <f t="shared" si="0"/>
        <v>154709.30009999999</v>
      </c>
      <c r="F58" s="26">
        <f>16438.96682</f>
        <v>16438.966820000001</v>
      </c>
      <c r="G58" s="26">
        <f>1348.26672</f>
        <v>1348.2667200000001</v>
      </c>
      <c r="H58" s="39">
        <f t="shared" si="31"/>
        <v>15090.700100000002</v>
      </c>
      <c r="I58" s="26">
        <f>33800.65338-F58</f>
        <v>17361.686560000002</v>
      </c>
      <c r="J58" s="26">
        <f>8919.99746-G58</f>
        <v>7571.7307400000009</v>
      </c>
      <c r="K58" s="39">
        <f t="shared" si="32"/>
        <v>9789.955820000001</v>
      </c>
      <c r="L58" s="26">
        <f>369816.85803-L92</f>
        <v>208058.33288999996</v>
      </c>
      <c r="M58" s="26">
        <f>119129.55994-M92</f>
        <v>67583.007990000013</v>
      </c>
      <c r="N58" s="39">
        <f t="shared" si="33"/>
        <v>140475.32489999995</v>
      </c>
      <c r="O58" s="26">
        <f>323535.9056-O92</f>
        <v>157495.90836999999</v>
      </c>
      <c r="P58" s="26">
        <f>72258.04089-P92</f>
        <v>16461.488940000003</v>
      </c>
      <c r="Q58" s="39">
        <f t="shared" si="34"/>
        <v>141034.41942999998</v>
      </c>
      <c r="R58" s="50">
        <f t="shared" si="38"/>
        <v>0.91160918793400958</v>
      </c>
      <c r="S58" s="26">
        <f>35862.67258-S92</f>
        <v>28714.596279999998</v>
      </c>
      <c r="T58" s="26">
        <f>1365.90553-T92</f>
        <v>1188.8237300000001</v>
      </c>
      <c r="U58" s="39">
        <f t="shared" si="35"/>
        <v>27525.772549999998</v>
      </c>
      <c r="V58" s="26">
        <v>9411</v>
      </c>
      <c r="W58" s="26">
        <v>315.2</v>
      </c>
      <c r="X58" s="39">
        <f t="shared" si="36"/>
        <v>9095.7999999999993</v>
      </c>
      <c r="Y58" s="26">
        <f>O58+40183.7869-10000</f>
        <v>187679.69527</v>
      </c>
      <c r="Z58" s="26">
        <f t="shared" si="40"/>
        <v>16461.488940000003</v>
      </c>
      <c r="AA58" s="39">
        <f t="shared" si="37"/>
        <v>171218.20632999999</v>
      </c>
      <c r="AB58" s="50">
        <f t="shared" si="8"/>
        <v>1.1067092037733288</v>
      </c>
    </row>
    <row r="59" spans="1:28" x14ac:dyDescent="0.25">
      <c r="A59" s="52"/>
      <c r="B59" s="53" t="s">
        <v>7</v>
      </c>
      <c r="C59" s="35"/>
      <c r="D59" s="35"/>
      <c r="E59" s="54"/>
      <c r="F59" s="35"/>
      <c r="G59" s="35"/>
      <c r="H59" s="54"/>
      <c r="I59" s="35"/>
      <c r="J59" s="35"/>
      <c r="K59" s="54"/>
      <c r="L59" s="35"/>
      <c r="M59" s="35"/>
      <c r="N59" s="54"/>
      <c r="O59" s="35"/>
      <c r="P59" s="35"/>
      <c r="Q59" s="54"/>
      <c r="R59" s="55"/>
      <c r="S59" s="35"/>
      <c r="T59" s="35"/>
      <c r="U59" s="54"/>
      <c r="V59" s="35"/>
      <c r="W59" s="35"/>
      <c r="X59" s="54"/>
      <c r="Y59" s="26"/>
      <c r="Z59" s="26"/>
      <c r="AA59" s="54"/>
      <c r="AB59" s="55"/>
    </row>
    <row r="60" spans="1:28" ht="25.5" x14ac:dyDescent="0.25">
      <c r="A60" s="24"/>
      <c r="B60" s="32" t="s">
        <v>82</v>
      </c>
      <c r="C60" s="26">
        <f>39458.81977+1176.51264</f>
        <v>40635.332410000003</v>
      </c>
      <c r="D60" s="159">
        <f>479.86693</f>
        <v>479.86693000000002</v>
      </c>
      <c r="E60" s="39">
        <f t="shared" si="0"/>
        <v>40155.465480000006</v>
      </c>
      <c r="F60" s="26">
        <f>8054+282</f>
        <v>8336</v>
      </c>
      <c r="G60" s="118">
        <f>282</f>
        <v>282</v>
      </c>
      <c r="H60" s="39">
        <f t="shared" si="31"/>
        <v>8054</v>
      </c>
      <c r="I60" s="26">
        <f>248.68+12672-F60</f>
        <v>4584.68</v>
      </c>
      <c r="J60" s="118">
        <f>248.68+0-G60</f>
        <v>-33.319999999999993</v>
      </c>
      <c r="K60" s="39">
        <f t="shared" ref="K60:K62" si="41">I60-J60</f>
        <v>4618</v>
      </c>
      <c r="L60" s="26">
        <f>40497.22+420.53089</f>
        <v>40917.750890000003</v>
      </c>
      <c r="M60" s="26">
        <f>0+420.53089</f>
        <v>420.53089</v>
      </c>
      <c r="N60" s="39">
        <f t="shared" ref="N60:N62" si="42">L60-M60</f>
        <v>40497.22</v>
      </c>
      <c r="O60" s="26">
        <f>40497+467.37166</f>
        <v>40964.371659999997</v>
      </c>
      <c r="P60" s="118">
        <f>0+465.78617</f>
        <v>465.78617000000003</v>
      </c>
      <c r="Q60" s="39">
        <f t="shared" ref="Q60:Q62" si="43">O60-P60</f>
        <v>40498.585489999998</v>
      </c>
      <c r="R60" s="50">
        <f t="shared" si="38"/>
        <v>1.0085447897539848</v>
      </c>
      <c r="S60" s="26">
        <f>14992.151+117.52166</f>
        <v>15109.67266</v>
      </c>
      <c r="T60" s="118">
        <f>0+115.93617</f>
        <v>115.93617</v>
      </c>
      <c r="U60" s="39">
        <f t="shared" ref="U60:U62" si="44">S60-T60</f>
        <v>14993.736489999999</v>
      </c>
      <c r="V60" s="26">
        <v>3112.3</v>
      </c>
      <c r="W60" s="118">
        <v>32.1</v>
      </c>
      <c r="X60" s="39">
        <f t="shared" ref="X60:X62" si="45">V60-W60</f>
        <v>3080.2000000000003</v>
      </c>
      <c r="Y60" s="26">
        <f t="shared" si="39"/>
        <v>40964.371659999997</v>
      </c>
      <c r="Z60" s="26">
        <f t="shared" si="40"/>
        <v>465.78617000000003</v>
      </c>
      <c r="AA60" s="39">
        <f t="shared" ref="AA60:AA62" si="46">Y60-Z60</f>
        <v>40498.585489999998</v>
      </c>
      <c r="AB60" s="50">
        <f t="shared" si="8"/>
        <v>1.0085447897539848</v>
      </c>
    </row>
    <row r="61" spans="1:28" ht="25.5" x14ac:dyDescent="0.25">
      <c r="A61" s="24"/>
      <c r="B61" s="32" t="s">
        <v>83</v>
      </c>
      <c r="C61" s="26">
        <f>170942.46337+18607.79595+10202.34471</f>
        <v>199752.60403000002</v>
      </c>
      <c r="D61" s="160">
        <f>133677.56+84.98845+7944.7524</f>
        <v>141707.30085</v>
      </c>
      <c r="E61" s="39">
        <f t="shared" si="0"/>
        <v>58045.303180000017</v>
      </c>
      <c r="F61" s="26">
        <f>5982+14.2</f>
        <v>5996.2</v>
      </c>
      <c r="G61" s="118">
        <f>1012</f>
        <v>1012</v>
      </c>
      <c r="H61" s="39">
        <f t="shared" si="31"/>
        <v>4984.2</v>
      </c>
      <c r="I61" s="26">
        <f>20.647+9325.29-F61</f>
        <v>3349.7370000000019</v>
      </c>
      <c r="J61" s="118">
        <f>20.647+1419.76-G61</f>
        <v>428.40699999999993</v>
      </c>
      <c r="K61" s="39">
        <f t="shared" si="41"/>
        <v>2921.3300000000017</v>
      </c>
      <c r="L61" s="26">
        <f>39556.84+21615.30388</f>
        <v>61172.143879999996</v>
      </c>
      <c r="M61" s="26">
        <f>12700+65.90388</f>
        <v>12765.90388</v>
      </c>
      <c r="N61" s="39">
        <f t="shared" si="42"/>
        <v>48406.239999999998</v>
      </c>
      <c r="O61" s="26">
        <f>39557+21658.47918</f>
        <v>61215.479179999995</v>
      </c>
      <c r="P61" s="118">
        <f>12770+109.07918</f>
        <v>12879.079180000001</v>
      </c>
      <c r="Q61" s="39">
        <f t="shared" si="43"/>
        <v>48336.399999999994</v>
      </c>
      <c r="R61" s="50">
        <f t="shared" si="38"/>
        <v>0.83273576589147169</v>
      </c>
      <c r="S61" s="26">
        <f>7932.146+2383.46868</f>
        <v>10315.614679999999</v>
      </c>
      <c r="T61" s="118">
        <f>1000.72+9.63328</f>
        <v>1010.35328</v>
      </c>
      <c r="U61" s="39">
        <f t="shared" si="44"/>
        <v>9305.2613999999994</v>
      </c>
      <c r="V61" s="26">
        <v>3005.3</v>
      </c>
      <c r="W61" s="118">
        <v>204.7</v>
      </c>
      <c r="X61" s="39">
        <f t="shared" si="45"/>
        <v>2800.6000000000004</v>
      </c>
      <c r="Y61" s="26">
        <f t="shared" si="39"/>
        <v>61215.479179999995</v>
      </c>
      <c r="Z61" s="26">
        <f t="shared" si="40"/>
        <v>12879.079180000001</v>
      </c>
      <c r="AA61" s="39">
        <f t="shared" si="46"/>
        <v>48336.399999999994</v>
      </c>
      <c r="AB61" s="50">
        <f t="shared" si="8"/>
        <v>0.83273576589147169</v>
      </c>
    </row>
    <row r="62" spans="1:28" ht="25.5" x14ac:dyDescent="0.25">
      <c r="A62" s="24"/>
      <c r="B62" s="32" t="s">
        <v>84</v>
      </c>
      <c r="C62" s="26">
        <f>7448.26664+3219.123+4521.18444</f>
        <v>15188.574079999999</v>
      </c>
      <c r="D62" s="160">
        <f>7076+772.065+1831.97023</f>
        <v>9680.0352300000013</v>
      </c>
      <c r="E62" s="39">
        <f t="shared" si="0"/>
        <v>5508.5388499999972</v>
      </c>
      <c r="F62" s="26">
        <f>0+186.3</f>
        <v>186.3</v>
      </c>
      <c r="G62" s="118">
        <f>0</f>
        <v>0</v>
      </c>
      <c r="H62" s="39">
        <f t="shared" si="31"/>
        <v>186.3</v>
      </c>
      <c r="I62" s="26">
        <f>0+7448-F62</f>
        <v>7261.7</v>
      </c>
      <c r="J62" s="118">
        <f>0</f>
        <v>0</v>
      </c>
      <c r="K62" s="39">
        <f t="shared" si="41"/>
        <v>7261.7</v>
      </c>
      <c r="L62" s="26">
        <f>0</f>
        <v>0</v>
      </c>
      <c r="M62" s="26"/>
      <c r="N62" s="39">
        <f t="shared" si="42"/>
        <v>0</v>
      </c>
      <c r="O62" s="26">
        <f>0+50+1100</f>
        <v>1150</v>
      </c>
      <c r="P62" s="118">
        <f>0</f>
        <v>0</v>
      </c>
      <c r="Q62" s="39">
        <f t="shared" si="43"/>
        <v>1150</v>
      </c>
      <c r="R62" s="50">
        <f t="shared" si="38"/>
        <v>0.20876679484615066</v>
      </c>
      <c r="S62" s="26">
        <f>0+1100</f>
        <v>1100</v>
      </c>
      <c r="T62" s="118">
        <f>0</f>
        <v>0</v>
      </c>
      <c r="U62" s="39">
        <f t="shared" si="44"/>
        <v>1100</v>
      </c>
      <c r="V62" s="26">
        <v>25</v>
      </c>
      <c r="W62" s="118">
        <v>2</v>
      </c>
      <c r="X62" s="39">
        <f t="shared" si="45"/>
        <v>23</v>
      </c>
      <c r="Y62" s="26">
        <f t="shared" si="39"/>
        <v>1150</v>
      </c>
      <c r="Z62" s="26">
        <f t="shared" si="40"/>
        <v>0</v>
      </c>
      <c r="AA62" s="39">
        <f t="shared" si="46"/>
        <v>1150</v>
      </c>
      <c r="AB62" s="50">
        <f t="shared" si="8"/>
        <v>0.20876679484615066</v>
      </c>
    </row>
    <row r="63" spans="1:28" ht="25.5" x14ac:dyDescent="0.25">
      <c r="A63" s="51" t="s">
        <v>85</v>
      </c>
      <c r="B63" s="32" t="s">
        <v>86</v>
      </c>
      <c r="C63" s="26">
        <f>85619.90253</f>
        <v>85619.902530000007</v>
      </c>
      <c r="D63" s="26">
        <v>78353.899680000002</v>
      </c>
      <c r="E63" s="39">
        <f t="shared" si="0"/>
        <v>7266.0028500000044</v>
      </c>
      <c r="F63" s="26">
        <f>19655.92188</f>
        <v>19655.921880000002</v>
      </c>
      <c r="G63" s="26">
        <f>17303.05373</f>
        <v>17303.05373</v>
      </c>
      <c r="H63" s="39">
        <f t="shared" si="31"/>
        <v>2352.8681500000021</v>
      </c>
      <c r="I63" s="26">
        <f>27058.17812-F63</f>
        <v>7402.2562399999988</v>
      </c>
      <c r="J63" s="26">
        <f>23545.13951-G63</f>
        <v>6242.0857800000013</v>
      </c>
      <c r="K63" s="39">
        <f t="shared" si="32"/>
        <v>1160.1704599999975</v>
      </c>
      <c r="L63" s="26">
        <f>97603.94852</f>
        <v>97603.948520000005</v>
      </c>
      <c r="M63" s="26">
        <f>419.393+89674.1</f>
        <v>90093.493000000002</v>
      </c>
      <c r="N63" s="39">
        <f t="shared" si="33"/>
        <v>7510.4555200000032</v>
      </c>
      <c r="O63" s="26">
        <f>99033.29852</f>
        <v>99033.298519999997</v>
      </c>
      <c r="P63" s="26">
        <v>90093.493000000002</v>
      </c>
      <c r="Q63" s="39">
        <f t="shared" si="34"/>
        <v>8939.8055199999944</v>
      </c>
      <c r="R63" s="50">
        <f t="shared" si="38"/>
        <v>1.230360860648436</v>
      </c>
      <c r="S63" s="26">
        <v>22100.20593</v>
      </c>
      <c r="T63" s="26">
        <v>20263.46775</v>
      </c>
      <c r="U63" s="39">
        <f t="shared" si="35"/>
        <v>1836.7381800000003</v>
      </c>
      <c r="V63" s="26">
        <v>7398.5</v>
      </c>
      <c r="W63" s="26">
        <v>6786.5</v>
      </c>
      <c r="X63" s="39">
        <f t="shared" si="36"/>
        <v>612</v>
      </c>
      <c r="Y63" s="26">
        <f t="shared" si="39"/>
        <v>99033.298519999997</v>
      </c>
      <c r="Z63" s="26">
        <f t="shared" si="40"/>
        <v>90093.493000000002</v>
      </c>
      <c r="AA63" s="39">
        <f t="shared" si="37"/>
        <v>8939.8055199999944</v>
      </c>
      <c r="AB63" s="50">
        <f t="shared" si="8"/>
        <v>1.230360860648436</v>
      </c>
    </row>
    <row r="64" spans="1:28" ht="25.5" x14ac:dyDescent="0.25">
      <c r="A64" s="51" t="s">
        <v>87</v>
      </c>
      <c r="B64" s="32" t="s">
        <v>88</v>
      </c>
      <c r="C64" s="26">
        <v>177283.85339</v>
      </c>
      <c r="D64" s="118">
        <v>159756.56203999999</v>
      </c>
      <c r="E64" s="39">
        <f t="shared" si="0"/>
        <v>17527.291350000014</v>
      </c>
      <c r="F64" s="26">
        <f>26146.61164</f>
        <v>26146.611639999999</v>
      </c>
      <c r="G64" s="118">
        <f>24839.28107</f>
        <v>24839.281070000001</v>
      </c>
      <c r="H64" s="39">
        <f t="shared" si="31"/>
        <v>1307.3305699999983</v>
      </c>
      <c r="I64" s="26">
        <f>26146.61164-F64</f>
        <v>0</v>
      </c>
      <c r="J64" s="118">
        <f>24839.28107-G64</f>
        <v>0</v>
      </c>
      <c r="K64" s="39">
        <f t="shared" si="32"/>
        <v>0</v>
      </c>
      <c r="L64" s="26">
        <v>755631.62448</v>
      </c>
      <c r="M64" s="118">
        <f>470935.6+283279.57038</f>
        <v>754215.17038000003</v>
      </c>
      <c r="N64" s="39">
        <f t="shared" si="33"/>
        <v>1416.4540999999736</v>
      </c>
      <c r="O64" s="26">
        <v>878398.82557999995</v>
      </c>
      <c r="P64" s="118">
        <v>876982.37147999997</v>
      </c>
      <c r="Q64" s="39">
        <f t="shared" si="34"/>
        <v>1416.4540999999736</v>
      </c>
      <c r="R64" s="50">
        <f t="shared" si="38"/>
        <v>8.0814204072665929E-2</v>
      </c>
      <c r="S64" s="26">
        <v>41642.781640000001</v>
      </c>
      <c r="T64" s="118">
        <v>41638.790079999999</v>
      </c>
      <c r="U64" s="39">
        <f t="shared" si="35"/>
        <v>3.9915600000022096</v>
      </c>
      <c r="V64" s="26">
        <f>104286.86+440</f>
        <v>104726.86</v>
      </c>
      <c r="W64" s="118">
        <f>103243.991+440</f>
        <v>103683.99099999999</v>
      </c>
      <c r="X64" s="39">
        <f t="shared" si="36"/>
        <v>1042.8690000000061</v>
      </c>
      <c r="Y64" s="26">
        <f t="shared" si="39"/>
        <v>878398.82557999995</v>
      </c>
      <c r="Z64" s="26">
        <f t="shared" si="40"/>
        <v>876982.37147999997</v>
      </c>
      <c r="AA64" s="39">
        <f t="shared" si="37"/>
        <v>1416.4540999999736</v>
      </c>
      <c r="AB64" s="50">
        <f t="shared" si="8"/>
        <v>8.0814204072665929E-2</v>
      </c>
    </row>
    <row r="65" spans="1:28" x14ac:dyDescent="0.25">
      <c r="A65" s="51" t="s">
        <v>89</v>
      </c>
      <c r="B65" s="32" t="s">
        <v>90</v>
      </c>
      <c r="C65" s="26"/>
      <c r="D65" s="118"/>
      <c r="E65" s="39">
        <f t="shared" si="0"/>
        <v>0</v>
      </c>
      <c r="F65" s="26"/>
      <c r="G65" s="118"/>
      <c r="H65" s="39">
        <f t="shared" si="31"/>
        <v>0</v>
      </c>
      <c r="I65" s="26"/>
      <c r="J65" s="118"/>
      <c r="K65" s="39">
        <f t="shared" si="32"/>
        <v>0</v>
      </c>
      <c r="L65" s="26"/>
      <c r="M65" s="118"/>
      <c r="N65" s="39">
        <f t="shared" si="33"/>
        <v>0</v>
      </c>
      <c r="O65" s="26"/>
      <c r="P65" s="118"/>
      <c r="Q65" s="39">
        <f t="shared" si="34"/>
        <v>0</v>
      </c>
      <c r="R65" s="50" t="e">
        <f t="shared" si="38"/>
        <v>#DIV/0!</v>
      </c>
      <c r="S65" s="26"/>
      <c r="T65" s="118"/>
      <c r="U65" s="39">
        <f t="shared" si="35"/>
        <v>0</v>
      </c>
      <c r="V65" s="26"/>
      <c r="W65" s="118"/>
      <c r="X65" s="39">
        <f t="shared" si="36"/>
        <v>0</v>
      </c>
      <c r="Y65" s="26"/>
      <c r="Z65" s="26"/>
      <c r="AA65" s="39">
        <f t="shared" si="37"/>
        <v>0</v>
      </c>
      <c r="AB65" s="50" t="e">
        <f t="shared" si="8"/>
        <v>#DIV/0!</v>
      </c>
    </row>
    <row r="66" spans="1:28" ht="38.25" x14ac:dyDescent="0.25">
      <c r="A66" s="51" t="s">
        <v>91</v>
      </c>
      <c r="B66" s="32" t="s">
        <v>92</v>
      </c>
      <c r="C66" s="26">
        <v>2649162.5212400001</v>
      </c>
      <c r="D66" s="118">
        <v>1689930.6891099999</v>
      </c>
      <c r="E66" s="39">
        <f t="shared" si="0"/>
        <v>959231.83213000023</v>
      </c>
      <c r="F66" s="26">
        <f>452539.1097</f>
        <v>452539.10969999997</v>
      </c>
      <c r="G66" s="118">
        <f>296493.92387</f>
        <v>296493.92387</v>
      </c>
      <c r="H66" s="39">
        <f t="shared" si="31"/>
        <v>156045.18582999997</v>
      </c>
      <c r="I66" s="26">
        <f>708162.87438-F66</f>
        <v>255623.76468000008</v>
      </c>
      <c r="J66" s="118">
        <f>435681.41845-G66</f>
        <v>139187.49458</v>
      </c>
      <c r="K66" s="39">
        <f t="shared" si="32"/>
        <v>116436.27010000008</v>
      </c>
      <c r="L66" s="26">
        <v>2542321.96636</v>
      </c>
      <c r="M66" s="118">
        <f>196863.11451+1292315.05185</f>
        <v>1489178.1663599999</v>
      </c>
      <c r="N66" s="39">
        <f t="shared" si="33"/>
        <v>1053143.8</v>
      </c>
      <c r="O66" s="26">
        <v>2579296.41585</v>
      </c>
      <c r="P66" s="118">
        <v>1526152.6158499999</v>
      </c>
      <c r="Q66" s="39">
        <f t="shared" si="34"/>
        <v>1053143.8</v>
      </c>
      <c r="R66" s="50">
        <f t="shared" si="38"/>
        <v>1.0979033062961074</v>
      </c>
      <c r="S66" s="26">
        <v>459332.25182</v>
      </c>
      <c r="T66" s="118">
        <v>230760.96562999999</v>
      </c>
      <c r="U66" s="39">
        <f t="shared" si="35"/>
        <v>228571.28619000001</v>
      </c>
      <c r="V66" s="26">
        <v>167051.20000000001</v>
      </c>
      <c r="W66" s="118">
        <f>108412.3+2050+595+337</f>
        <v>111394.3</v>
      </c>
      <c r="X66" s="39">
        <f t="shared" si="36"/>
        <v>55656.900000000009</v>
      </c>
      <c r="Y66" s="26">
        <f>O66+2.898+252.17958</f>
        <v>2579551.4934300003</v>
      </c>
      <c r="Z66" s="26">
        <f>P66+2.898+252.17958</f>
        <v>1526407.69343</v>
      </c>
      <c r="AA66" s="39">
        <f t="shared" si="37"/>
        <v>1053143.8000000003</v>
      </c>
      <c r="AB66" s="50">
        <f t="shared" si="8"/>
        <v>1.0979033062961079</v>
      </c>
    </row>
    <row r="67" spans="1:28" ht="51" x14ac:dyDescent="0.25">
      <c r="A67" s="51"/>
      <c r="B67" s="56" t="s">
        <v>93</v>
      </c>
      <c r="C67" s="57">
        <f>C68+C71+C72+C73+C74+C75</f>
        <v>2593611.1975500002</v>
      </c>
      <c r="D67" s="57">
        <f>D68+D71+D72+D73+D74+D75</f>
        <v>1624023.4100000001</v>
      </c>
      <c r="E67" s="57">
        <f t="shared" si="0"/>
        <v>969587.78755000001</v>
      </c>
      <c r="F67" s="58">
        <f>F68+F71+F72+F73+F74+F75</f>
        <v>464280.16945000004</v>
      </c>
      <c r="G67" s="58">
        <f>G68+G71+G72+G73+G74+G75</f>
        <v>249109</v>
      </c>
      <c r="H67" s="57">
        <f t="shared" si="31"/>
        <v>215171.16945000004</v>
      </c>
      <c r="I67" s="58">
        <f>I68+I71+I72+I73+I74+I75</f>
        <v>218631.12955000004</v>
      </c>
      <c r="J67" s="58">
        <f>J68+J71+J72+J73+J74+J75</f>
        <v>120487.60700000003</v>
      </c>
      <c r="K67" s="57">
        <f t="shared" si="32"/>
        <v>98143.522550000009</v>
      </c>
      <c r="L67" s="58">
        <f>L68+L71+L72+L73+L74+L75</f>
        <v>2542322</v>
      </c>
      <c r="M67" s="58">
        <f>M68+M71+M72+M73+M74+M75</f>
        <v>1489178</v>
      </c>
      <c r="N67" s="57">
        <f t="shared" si="33"/>
        <v>1053144</v>
      </c>
      <c r="O67" s="58">
        <f>O68+O71+O72+O73+O74+O75</f>
        <v>2784018.16842</v>
      </c>
      <c r="P67" s="58">
        <f>P68+P71+P72+P73+P74+P75</f>
        <v>1629659</v>
      </c>
      <c r="Q67" s="57">
        <f t="shared" si="34"/>
        <v>1154359.16842</v>
      </c>
      <c r="R67" s="59">
        <f t="shared" si="38"/>
        <v>1.1905669432335664</v>
      </c>
      <c r="S67" s="58">
        <f>S68+S71+S72+S73+S74+S75</f>
        <v>482903.32948999997</v>
      </c>
      <c r="T67" s="58">
        <f>T68+T71+T72+T73+T74+T75</f>
        <v>260884.7</v>
      </c>
      <c r="U67" s="57">
        <f t="shared" si="35"/>
        <v>222018.62948999996</v>
      </c>
      <c r="V67" s="58">
        <f>V68+V71+V72+V73+V74+V75</f>
        <v>212719.30000000005</v>
      </c>
      <c r="W67" s="58">
        <f>W68+W71+W72+W73+W74+W75</f>
        <v>127563.70000000001</v>
      </c>
      <c r="X67" s="57">
        <f t="shared" si="36"/>
        <v>85155.600000000035</v>
      </c>
      <c r="Y67" s="58">
        <f>Y68+Y71+Y72+Y73+Y74+Y75</f>
        <v>2784273.2460000003</v>
      </c>
      <c r="Z67" s="58">
        <f>Z68+Z71+Z72+Z73+Z74+Z75</f>
        <v>1629914.07758</v>
      </c>
      <c r="AA67" s="57">
        <f t="shared" si="37"/>
        <v>1154359.1684200002</v>
      </c>
      <c r="AB67" s="60">
        <f t="shared" si="8"/>
        <v>1.1905669432335666</v>
      </c>
    </row>
    <row r="68" spans="1:28" x14ac:dyDescent="0.25">
      <c r="A68" s="51" t="s">
        <v>94</v>
      </c>
      <c r="B68" s="61" t="s">
        <v>95</v>
      </c>
      <c r="C68" s="62">
        <f>1819937.67348</f>
        <v>1819937.6734800001</v>
      </c>
      <c r="D68" s="119">
        <f>1345081.7+5690.81</f>
        <v>1350772.51</v>
      </c>
      <c r="E68" s="63">
        <f t="shared" si="0"/>
        <v>469165.1634800001</v>
      </c>
      <c r="F68" s="62">
        <f>314394.18397+13891.40677</f>
        <v>328285.59074000001</v>
      </c>
      <c r="G68" s="119">
        <f>233403+187</f>
        <v>233590</v>
      </c>
      <c r="H68" s="63">
        <f t="shared" si="31"/>
        <v>94695.590740000014</v>
      </c>
      <c r="I68" s="62">
        <f>17878.381+467065.4-F68</f>
        <v>156658.19026</v>
      </c>
      <c r="J68" s="119">
        <f>339082.9+642.607-G68</f>
        <v>106135.50700000004</v>
      </c>
      <c r="K68" s="63">
        <f t="shared" si="32"/>
        <v>50522.683259999962</v>
      </c>
      <c r="L68" s="62">
        <v>1762602</v>
      </c>
      <c r="M68" s="119">
        <v>1272294</v>
      </c>
      <c r="N68" s="63">
        <f t="shared" si="33"/>
        <v>490308</v>
      </c>
      <c r="O68" s="62">
        <v>1841763.49178</v>
      </c>
      <c r="P68" s="119">
        <v>1270749</v>
      </c>
      <c r="Q68" s="63">
        <f t="shared" si="34"/>
        <v>571014.49178000004</v>
      </c>
      <c r="R68" s="64">
        <f t="shared" si="38"/>
        <v>1.2170862975940915</v>
      </c>
      <c r="S68" s="62">
        <f>314346.49808+19664.48249</f>
        <v>334010.98057000001</v>
      </c>
      <c r="T68" s="119">
        <v>225540.7</v>
      </c>
      <c r="U68" s="63">
        <f t="shared" si="35"/>
        <v>108470.28057</v>
      </c>
      <c r="V68" s="62">
        <f>V70+415.2</f>
        <v>154064.00000000003</v>
      </c>
      <c r="W68" s="119">
        <f>W70+3115.6</f>
        <v>104531.20000000001</v>
      </c>
      <c r="X68" s="63">
        <f t="shared" si="36"/>
        <v>49532.800000000017</v>
      </c>
      <c r="Y68" s="62">
        <f>O68</f>
        <v>1841763.49178</v>
      </c>
      <c r="Z68" s="119">
        <f>P68</f>
        <v>1270749</v>
      </c>
      <c r="AA68" s="63">
        <f t="shared" si="37"/>
        <v>571014.49178000004</v>
      </c>
      <c r="AB68" s="64">
        <f t="shared" si="8"/>
        <v>1.2170862975940915</v>
      </c>
    </row>
    <row r="69" spans="1:28" x14ac:dyDescent="0.25">
      <c r="A69" s="51"/>
      <c r="B69" s="61" t="s">
        <v>7</v>
      </c>
      <c r="C69" s="62"/>
      <c r="D69" s="119"/>
      <c r="E69" s="63"/>
      <c r="F69" s="62"/>
      <c r="G69" s="119"/>
      <c r="H69" s="63"/>
      <c r="I69" s="62"/>
      <c r="J69" s="119"/>
      <c r="K69" s="63"/>
      <c r="L69" s="62"/>
      <c r="M69" s="119"/>
      <c r="N69" s="63"/>
      <c r="O69" s="62"/>
      <c r="P69" s="119"/>
      <c r="Q69" s="63"/>
      <c r="R69" s="64"/>
      <c r="S69" s="62"/>
      <c r="T69" s="119"/>
      <c r="U69" s="63"/>
      <c r="V69" s="62"/>
      <c r="W69" s="119"/>
      <c r="X69" s="63"/>
      <c r="Y69" s="62"/>
      <c r="Z69" s="119"/>
      <c r="AA69" s="63"/>
      <c r="AB69" s="64"/>
    </row>
    <row r="70" spans="1:28" ht="25.5" x14ac:dyDescent="0.25">
      <c r="A70" s="51"/>
      <c r="B70" s="61" t="s">
        <v>96</v>
      </c>
      <c r="C70" s="62">
        <f>1358927.61249+413990.45053</f>
        <v>1772918.06302</v>
      </c>
      <c r="D70" s="119">
        <f>1320261.2+5690.81</f>
        <v>1325952.01</v>
      </c>
      <c r="E70" s="63">
        <f>C70-D70</f>
        <v>446966.05301999999</v>
      </c>
      <c r="F70" s="62">
        <f>7661.8866+313745.76712</f>
        <v>321407.65372</v>
      </c>
      <c r="G70" s="119">
        <f>227267+187</f>
        <v>227454</v>
      </c>
      <c r="H70" s="63">
        <f>F70-G70</f>
        <v>93953.653720000002</v>
      </c>
      <c r="I70" s="62">
        <f>17845.758+459492.9-F70</f>
        <v>155931.00428000005</v>
      </c>
      <c r="J70" s="119">
        <f>642.607+338373.7-G70</f>
        <v>111562.30700000003</v>
      </c>
      <c r="K70" s="63">
        <f t="shared" si="32"/>
        <v>44368.697280000022</v>
      </c>
      <c r="L70" s="62">
        <v>1719542</v>
      </c>
      <c r="M70" s="119">
        <v>1252416</v>
      </c>
      <c r="N70" s="63">
        <f t="shared" si="33"/>
        <v>467126</v>
      </c>
      <c r="O70" s="62">
        <f>1790838.3197</f>
        <v>1790838.3197000001</v>
      </c>
      <c r="P70" s="119">
        <v>1244849</v>
      </c>
      <c r="Q70" s="63">
        <f t="shared" si="34"/>
        <v>545989.31970000011</v>
      </c>
      <c r="R70" s="64">
        <f t="shared" si="38"/>
        <v>1.2215453858541003</v>
      </c>
      <c r="S70" s="62">
        <f>13243.353+313734.86785</f>
        <v>326978.22084999998</v>
      </c>
      <c r="T70" s="119">
        <v>219754.2</v>
      </c>
      <c r="U70" s="63">
        <f t="shared" si="35"/>
        <v>107224.02084999997</v>
      </c>
      <c r="V70" s="62">
        <f>153841.2-192.4</f>
        <v>153648.80000000002</v>
      </c>
      <c r="W70" s="119">
        <v>101415.6</v>
      </c>
      <c r="X70" s="63">
        <f t="shared" si="36"/>
        <v>52233.200000000012</v>
      </c>
      <c r="Y70" s="62">
        <f t="shared" ref="Y69:Y79" si="47">O70</f>
        <v>1790838.3197000001</v>
      </c>
      <c r="Z70" s="119">
        <f t="shared" ref="Z69:Z79" si="48">P70</f>
        <v>1244849</v>
      </c>
      <c r="AA70" s="63">
        <f t="shared" si="37"/>
        <v>545989.31970000011</v>
      </c>
      <c r="AB70" s="64">
        <f t="shared" si="8"/>
        <v>1.2215453858541003</v>
      </c>
    </row>
    <row r="71" spans="1:28" x14ac:dyDescent="0.25">
      <c r="A71" s="51" t="s">
        <v>97</v>
      </c>
      <c r="B71" s="61" t="s">
        <v>98</v>
      </c>
      <c r="C71" s="62">
        <f>2721.79583</f>
        <v>2721.79583</v>
      </c>
      <c r="D71" s="119">
        <f>2176</f>
        <v>2176</v>
      </c>
      <c r="E71" s="63">
        <f t="shared" ref="E71:E75" si="49">C71-D71</f>
        <v>545.79583000000002</v>
      </c>
      <c r="F71" s="62">
        <f>423.18851+348.354</f>
        <v>771.54250999999999</v>
      </c>
      <c r="G71" s="119">
        <v>686</v>
      </c>
      <c r="H71" s="63">
        <f t="shared" ref="H71:H79" si="50">F71-G71</f>
        <v>85.542509999999993</v>
      </c>
      <c r="I71" s="62">
        <f>1016.1-F71</f>
        <v>244.55749000000003</v>
      </c>
      <c r="J71" s="119">
        <f>927.4-G71</f>
        <v>241.39999999999998</v>
      </c>
      <c r="K71" s="63">
        <f t="shared" si="32"/>
        <v>3.1574900000000525</v>
      </c>
      <c r="L71" s="62">
        <v>3666</v>
      </c>
      <c r="M71" s="119">
        <v>3666</v>
      </c>
      <c r="N71" s="63">
        <f t="shared" si="33"/>
        <v>0</v>
      </c>
      <c r="O71" s="62">
        <v>4850.9611999999997</v>
      </c>
      <c r="P71" s="119">
        <v>2789</v>
      </c>
      <c r="Q71" s="63">
        <f t="shared" si="34"/>
        <v>2061.9611999999997</v>
      </c>
      <c r="R71" s="64">
        <f t="shared" si="38"/>
        <v>3.7778984130384425</v>
      </c>
      <c r="S71" s="62">
        <f>281.99796+199.09</f>
        <v>481.08795999999995</v>
      </c>
      <c r="T71" s="119">
        <v>474.1</v>
      </c>
      <c r="U71" s="63">
        <f t="shared" si="35"/>
        <v>6.98795999999993</v>
      </c>
      <c r="V71" s="62">
        <v>158.19999999999999</v>
      </c>
      <c r="W71" s="119">
        <v>158.19999999999999</v>
      </c>
      <c r="X71" s="63">
        <f t="shared" si="36"/>
        <v>0</v>
      </c>
      <c r="Y71" s="62">
        <f t="shared" si="47"/>
        <v>4850.9611999999997</v>
      </c>
      <c r="Z71" s="119">
        <f t="shared" si="48"/>
        <v>2789</v>
      </c>
      <c r="AA71" s="63">
        <f t="shared" si="37"/>
        <v>2061.9611999999997</v>
      </c>
      <c r="AB71" s="64">
        <f t="shared" si="8"/>
        <v>3.7778984130384425</v>
      </c>
    </row>
    <row r="72" spans="1:28" x14ac:dyDescent="0.25">
      <c r="A72" s="51" t="s">
        <v>99</v>
      </c>
      <c r="B72" s="61" t="s">
        <v>100</v>
      </c>
      <c r="C72" s="62">
        <f>24876.83525</f>
        <v>24876.83525</v>
      </c>
      <c r="D72" s="119"/>
      <c r="E72" s="63">
        <f t="shared" si="49"/>
        <v>24876.83525</v>
      </c>
      <c r="F72" s="62">
        <f>6627.0946</f>
        <v>6627.0946000000004</v>
      </c>
      <c r="G72" s="119"/>
      <c r="H72" s="63">
        <f t="shared" si="50"/>
        <v>6627.0946000000004</v>
      </c>
      <c r="I72" s="62">
        <f>1379.407+11453.8-F72</f>
        <v>6206.1123999999982</v>
      </c>
      <c r="J72" s="119"/>
      <c r="K72" s="63">
        <f t="shared" si="32"/>
        <v>6206.1123999999982</v>
      </c>
      <c r="L72" s="62">
        <v>29325</v>
      </c>
      <c r="M72" s="119"/>
      <c r="N72" s="63">
        <f t="shared" si="33"/>
        <v>29325</v>
      </c>
      <c r="O72" s="62">
        <v>27250.794870000002</v>
      </c>
      <c r="P72" s="119"/>
      <c r="Q72" s="63">
        <f t="shared" si="34"/>
        <v>27250.794870000002</v>
      </c>
      <c r="R72" s="64">
        <f t="shared" si="38"/>
        <v>1.0954285220022109</v>
      </c>
      <c r="S72" s="62">
        <f>1.86546+6.399+7217.69741</f>
        <v>7225.9618700000001</v>
      </c>
      <c r="T72" s="119"/>
      <c r="U72" s="63">
        <f t="shared" si="35"/>
        <v>7225.9618700000001</v>
      </c>
      <c r="V72" s="62">
        <v>6748.5</v>
      </c>
      <c r="W72" s="119"/>
      <c r="X72" s="63">
        <f t="shared" si="36"/>
        <v>6748.5</v>
      </c>
      <c r="Y72" s="62">
        <f t="shared" si="47"/>
        <v>27250.794870000002</v>
      </c>
      <c r="Z72" s="119"/>
      <c r="AA72" s="63">
        <f t="shared" si="37"/>
        <v>27250.794870000002</v>
      </c>
      <c r="AB72" s="64">
        <f t="shared" si="8"/>
        <v>1.0954285220022109</v>
      </c>
    </row>
    <row r="73" spans="1:28" x14ac:dyDescent="0.25">
      <c r="A73" s="51" t="s">
        <v>101</v>
      </c>
      <c r="B73" s="61" t="s">
        <v>102</v>
      </c>
      <c r="C73" s="62"/>
      <c r="D73" s="119"/>
      <c r="E73" s="63">
        <f t="shared" si="49"/>
        <v>0</v>
      </c>
      <c r="F73" s="62"/>
      <c r="G73" s="119"/>
      <c r="H73" s="63">
        <f t="shared" si="50"/>
        <v>0</v>
      </c>
      <c r="I73" s="62"/>
      <c r="J73" s="119"/>
      <c r="K73" s="63">
        <f t="shared" si="32"/>
        <v>0</v>
      </c>
      <c r="L73" s="62"/>
      <c r="M73" s="119"/>
      <c r="N73" s="63">
        <f t="shared" si="33"/>
        <v>0</v>
      </c>
      <c r="O73" s="62"/>
      <c r="P73" s="119"/>
      <c r="Q73" s="63">
        <f t="shared" si="34"/>
        <v>0</v>
      </c>
      <c r="R73" s="64" t="e">
        <f t="shared" si="38"/>
        <v>#DIV/0!</v>
      </c>
      <c r="S73" s="62"/>
      <c r="T73" s="119"/>
      <c r="U73" s="63">
        <f t="shared" si="35"/>
        <v>0</v>
      </c>
      <c r="V73" s="62"/>
      <c r="W73" s="119"/>
      <c r="X73" s="63">
        <f t="shared" si="36"/>
        <v>0</v>
      </c>
      <c r="Y73" s="62"/>
      <c r="Z73" s="119"/>
      <c r="AA73" s="63">
        <f t="shared" si="37"/>
        <v>0</v>
      </c>
      <c r="AB73" s="64" t="e">
        <f t="shared" si="8"/>
        <v>#DIV/0!</v>
      </c>
    </row>
    <row r="74" spans="1:28" ht="25.5" x14ac:dyDescent="0.25">
      <c r="A74" s="51" t="s">
        <v>103</v>
      </c>
      <c r="B74" s="61" t="s">
        <v>104</v>
      </c>
      <c r="C74" s="62"/>
      <c r="D74" s="119"/>
      <c r="E74" s="63">
        <f t="shared" si="49"/>
        <v>0</v>
      </c>
      <c r="F74" s="62"/>
      <c r="G74" s="119"/>
      <c r="H74" s="63">
        <f t="shared" si="50"/>
        <v>0</v>
      </c>
      <c r="I74" s="62"/>
      <c r="J74" s="119"/>
      <c r="K74" s="63">
        <f t="shared" si="32"/>
        <v>0</v>
      </c>
      <c r="L74" s="62"/>
      <c r="M74" s="119"/>
      <c r="N74" s="63">
        <f t="shared" si="33"/>
        <v>0</v>
      </c>
      <c r="O74" s="62">
        <v>2800</v>
      </c>
      <c r="P74" s="119"/>
      <c r="Q74" s="63">
        <f t="shared" si="34"/>
        <v>2800</v>
      </c>
      <c r="R74" s="64" t="e">
        <f t="shared" si="38"/>
        <v>#DIV/0!</v>
      </c>
      <c r="S74" s="62"/>
      <c r="T74" s="119"/>
      <c r="U74" s="63">
        <f t="shared" si="35"/>
        <v>0</v>
      </c>
      <c r="V74" s="62"/>
      <c r="W74" s="119"/>
      <c r="X74" s="63">
        <f t="shared" si="36"/>
        <v>0</v>
      </c>
      <c r="Y74" s="62">
        <f t="shared" si="47"/>
        <v>2800</v>
      </c>
      <c r="Z74" s="119"/>
      <c r="AA74" s="63">
        <f t="shared" si="37"/>
        <v>2800</v>
      </c>
      <c r="AB74" s="64" t="e">
        <f t="shared" si="8"/>
        <v>#DIV/0!</v>
      </c>
    </row>
    <row r="75" spans="1:28" x14ac:dyDescent="0.25">
      <c r="A75" s="51" t="s">
        <v>205</v>
      </c>
      <c r="B75" s="61" t="s">
        <v>105</v>
      </c>
      <c r="C75" s="62">
        <v>746074.89298999996</v>
      </c>
      <c r="D75" s="119">
        <f>271074.9</f>
        <v>271074.90000000002</v>
      </c>
      <c r="E75" s="63">
        <f t="shared" si="49"/>
        <v>474999.99298999994</v>
      </c>
      <c r="F75" s="62">
        <f>74903.42375+53692.51785</f>
        <v>128595.94159999999</v>
      </c>
      <c r="G75" s="119">
        <v>14833</v>
      </c>
      <c r="H75" s="63">
        <f t="shared" si="50"/>
        <v>113762.94159999999</v>
      </c>
      <c r="I75" s="62">
        <f>17590.311+166527.9-F75</f>
        <v>55522.269400000019</v>
      </c>
      <c r="J75" s="119">
        <f>28943.7-G75</f>
        <v>14110.7</v>
      </c>
      <c r="K75" s="63">
        <f t="shared" si="32"/>
        <v>41411.569400000022</v>
      </c>
      <c r="L75" s="62">
        <v>746729</v>
      </c>
      <c r="M75" s="119">
        <v>213218</v>
      </c>
      <c r="N75" s="63">
        <f t="shared" si="33"/>
        <v>533511</v>
      </c>
      <c r="O75" s="62">
        <v>907352.92056999996</v>
      </c>
      <c r="P75" s="119">
        <v>356121</v>
      </c>
      <c r="Q75" s="63">
        <f t="shared" si="34"/>
        <v>551231.92056999996</v>
      </c>
      <c r="R75" s="64">
        <f t="shared" si="38"/>
        <v>1.1604882709579427</v>
      </c>
      <c r="S75" s="62">
        <f>89108.67136+52076.62773</f>
        <v>141185.29908999999</v>
      </c>
      <c r="T75" s="119">
        <v>34869.9</v>
      </c>
      <c r="U75" s="63">
        <f t="shared" si="35"/>
        <v>106315.39908999999</v>
      </c>
      <c r="V75" s="62">
        <v>51748.6</v>
      </c>
      <c r="W75" s="119">
        <v>22874.3</v>
      </c>
      <c r="X75" s="63">
        <f t="shared" si="36"/>
        <v>28874.3</v>
      </c>
      <c r="Y75" s="62">
        <f>O75+255.07758</f>
        <v>907607.99815</v>
      </c>
      <c r="Z75" s="119">
        <f>P75+255.07758</f>
        <v>356376.07757999998</v>
      </c>
      <c r="AA75" s="63">
        <f t="shared" si="37"/>
        <v>551231.92057000007</v>
      </c>
      <c r="AB75" s="64">
        <f t="shared" si="8"/>
        <v>1.1604882709579429</v>
      </c>
    </row>
    <row r="76" spans="1:28" x14ac:dyDescent="0.25">
      <c r="A76" s="51"/>
      <c r="B76" s="61" t="s">
        <v>7</v>
      </c>
      <c r="C76" s="62"/>
      <c r="D76" s="119"/>
      <c r="E76" s="63"/>
      <c r="F76" s="62"/>
      <c r="G76" s="119"/>
      <c r="H76" s="63"/>
      <c r="I76" s="62"/>
      <c r="J76" s="119"/>
      <c r="K76" s="63"/>
      <c r="L76" s="62"/>
      <c r="M76" s="119"/>
      <c r="N76" s="63"/>
      <c r="O76" s="62"/>
      <c r="P76" s="119"/>
      <c r="Q76" s="63"/>
      <c r="R76" s="64"/>
      <c r="S76" s="62"/>
      <c r="T76" s="119"/>
      <c r="U76" s="63"/>
      <c r="V76" s="62"/>
      <c r="W76" s="119"/>
      <c r="X76" s="63"/>
      <c r="Y76" s="62"/>
      <c r="Z76" s="119"/>
      <c r="AA76" s="63"/>
      <c r="AB76" s="64"/>
    </row>
    <row r="77" spans="1:28" ht="25.5" x14ac:dyDescent="0.25">
      <c r="A77" s="51"/>
      <c r="B77" s="61" t="s">
        <v>106</v>
      </c>
      <c r="C77" s="62">
        <f>15390+135074.3</f>
        <v>150464.29999999999</v>
      </c>
      <c r="D77" s="119"/>
      <c r="E77" s="63">
        <f t="shared" ref="E77:E79" si="51">C77-D77</f>
        <v>150464.29999999999</v>
      </c>
      <c r="F77" s="62">
        <v>44781</v>
      </c>
      <c r="G77" s="119"/>
      <c r="H77" s="63">
        <f t="shared" si="50"/>
        <v>44781</v>
      </c>
      <c r="I77" s="62">
        <f>6606.59+63599.1-F77</f>
        <v>25424.690000000002</v>
      </c>
      <c r="J77" s="119"/>
      <c r="K77" s="63">
        <f t="shared" ref="K77:K79" si="52">I77-J77</f>
        <v>25424.690000000002</v>
      </c>
      <c r="L77" s="62">
        <v>116974</v>
      </c>
      <c r="M77" s="119"/>
      <c r="N77" s="63">
        <f t="shared" ref="N77:N79" si="53">L77-M77</f>
        <v>116974</v>
      </c>
      <c r="O77" s="62">
        <f>181098+4480.62932</f>
        <v>185578.62932000001</v>
      </c>
      <c r="P77" s="119"/>
      <c r="Q77" s="63">
        <f t="shared" ref="Q77:Q79" si="54">O77-P77</f>
        <v>185578.62932000001</v>
      </c>
      <c r="R77" s="64">
        <f t="shared" si="38"/>
        <v>1.2333731610754179</v>
      </c>
      <c r="S77" s="62">
        <f>2184.23155+58595.3</f>
        <v>60779.53155</v>
      </c>
      <c r="T77" s="119"/>
      <c r="U77" s="63">
        <f t="shared" ref="U77:U79" si="55">S77-T77</f>
        <v>60779.53155</v>
      </c>
      <c r="V77" s="62">
        <f>11111.2+1755.7</f>
        <v>12866.900000000001</v>
      </c>
      <c r="W77" s="119"/>
      <c r="X77" s="63">
        <f t="shared" ref="X77:X79" si="56">V77-W77</f>
        <v>12866.900000000001</v>
      </c>
      <c r="Y77" s="62">
        <f t="shared" si="47"/>
        <v>185578.62932000001</v>
      </c>
      <c r="Z77" s="119"/>
      <c r="AA77" s="63">
        <f t="shared" ref="AA77:AA79" si="57">Y77-Z77</f>
        <v>185578.62932000001</v>
      </c>
      <c r="AB77" s="64">
        <f t="shared" si="8"/>
        <v>1.2333731610754179</v>
      </c>
    </row>
    <row r="78" spans="1:28" ht="25.5" x14ac:dyDescent="0.25">
      <c r="A78" s="51"/>
      <c r="B78" s="61" t="s">
        <v>83</v>
      </c>
      <c r="C78" s="62">
        <f>3409+243861.7</f>
        <v>247270.7</v>
      </c>
      <c r="D78" s="119">
        <f>123209</f>
        <v>123209</v>
      </c>
      <c r="E78" s="63">
        <f t="shared" si="51"/>
        <v>124061.70000000001</v>
      </c>
      <c r="F78" s="62">
        <v>25937</v>
      </c>
      <c r="G78" s="119">
        <v>59</v>
      </c>
      <c r="H78" s="63">
        <f t="shared" si="50"/>
        <v>25878</v>
      </c>
      <c r="I78" s="62">
        <f>1572.151+28854.3-F78</f>
        <v>4489.4510000000009</v>
      </c>
      <c r="J78" s="119">
        <f>7054.4-G78</f>
        <v>6995.4</v>
      </c>
      <c r="K78" s="63">
        <f t="shared" si="52"/>
        <v>-2505.9489999999987</v>
      </c>
      <c r="L78" s="62">
        <v>136543</v>
      </c>
      <c r="M78" s="119">
        <v>85427</v>
      </c>
      <c r="N78" s="63">
        <f t="shared" si="53"/>
        <v>51116</v>
      </c>
      <c r="O78" s="62">
        <f>1184.14276+252926</f>
        <v>254110.14275999999</v>
      </c>
      <c r="P78" s="119">
        <v>175153</v>
      </c>
      <c r="Q78" s="63">
        <f t="shared" si="54"/>
        <v>78957.142759999988</v>
      </c>
      <c r="R78" s="64">
        <f t="shared" si="38"/>
        <v>0.63643447381423901</v>
      </c>
      <c r="S78" s="62">
        <f>18.55185+26114.3</f>
        <v>26132.851849999999</v>
      </c>
      <c r="T78" s="119">
        <v>20024.400000000001</v>
      </c>
      <c r="U78" s="63">
        <f t="shared" si="55"/>
        <v>6108.4518499999976</v>
      </c>
      <c r="V78" s="62">
        <v>7412.3</v>
      </c>
      <c r="W78" s="119">
        <v>4112.3</v>
      </c>
      <c r="X78" s="63">
        <f t="shared" si="56"/>
        <v>3300</v>
      </c>
      <c r="Y78" s="62">
        <f t="shared" si="47"/>
        <v>254110.14275999999</v>
      </c>
      <c r="Z78" s="119">
        <f t="shared" si="48"/>
        <v>175153</v>
      </c>
      <c r="AA78" s="63">
        <f t="shared" si="57"/>
        <v>78957.142759999988</v>
      </c>
      <c r="AB78" s="64">
        <f t="shared" si="8"/>
        <v>0.63643447381423901</v>
      </c>
    </row>
    <row r="79" spans="1:28" ht="25.5" x14ac:dyDescent="0.25">
      <c r="A79" s="51"/>
      <c r="B79" s="61" t="s">
        <v>84</v>
      </c>
      <c r="C79" s="62">
        <f>3513+92819.4</f>
        <v>96332.4</v>
      </c>
      <c r="D79" s="119">
        <f>61934</f>
        <v>61934</v>
      </c>
      <c r="E79" s="63">
        <f t="shared" si="51"/>
        <v>34398.399999999994</v>
      </c>
      <c r="F79" s="62">
        <v>4389</v>
      </c>
      <c r="G79" s="119">
        <v>1770</v>
      </c>
      <c r="H79" s="63">
        <f t="shared" si="50"/>
        <v>2619</v>
      </c>
      <c r="I79" s="62">
        <f>3278+14661.1-F79</f>
        <v>13550.099999999999</v>
      </c>
      <c r="J79" s="119">
        <f>7974.1-G79</f>
        <v>6204.1</v>
      </c>
      <c r="K79" s="63">
        <f t="shared" si="52"/>
        <v>7345.9999999999982</v>
      </c>
      <c r="L79" s="62">
        <v>30948</v>
      </c>
      <c r="M79" s="119">
        <v>30948</v>
      </c>
      <c r="N79" s="63">
        <f t="shared" si="53"/>
        <v>0</v>
      </c>
      <c r="O79" s="62">
        <f>30645.41+48272</f>
        <v>78917.41</v>
      </c>
      <c r="P79" s="119">
        <v>39735</v>
      </c>
      <c r="Q79" s="63">
        <f t="shared" si="54"/>
        <v>39182.410000000003</v>
      </c>
      <c r="R79" s="64">
        <f t="shared" si="38"/>
        <v>1.139076526815201</v>
      </c>
      <c r="S79" s="62">
        <f>204.71+3143.2</f>
        <v>3347.91</v>
      </c>
      <c r="T79" s="119">
        <v>922</v>
      </c>
      <c r="U79" s="63">
        <f t="shared" si="55"/>
        <v>2425.91</v>
      </c>
      <c r="V79" s="62">
        <v>14115.6</v>
      </c>
      <c r="W79" s="119">
        <v>1512.6</v>
      </c>
      <c r="X79" s="63">
        <f t="shared" si="56"/>
        <v>12603</v>
      </c>
      <c r="Y79" s="62">
        <f t="shared" si="47"/>
        <v>78917.41</v>
      </c>
      <c r="Z79" s="119">
        <f t="shared" si="48"/>
        <v>39735</v>
      </c>
      <c r="AA79" s="63">
        <f t="shared" si="57"/>
        <v>39182.410000000003</v>
      </c>
      <c r="AB79" s="64">
        <f t="shared" si="8"/>
        <v>1.139076526815201</v>
      </c>
    </row>
    <row r="80" spans="1:28" ht="25.5" x14ac:dyDescent="0.25">
      <c r="A80" s="24" t="s">
        <v>107</v>
      </c>
      <c r="B80" s="32" t="s">
        <v>108</v>
      </c>
      <c r="C80" s="26">
        <v>46.137569999999997</v>
      </c>
      <c r="D80" s="120"/>
      <c r="E80" s="39">
        <f t="shared" si="0"/>
        <v>46.137569999999997</v>
      </c>
      <c r="F80" s="26">
        <v>0</v>
      </c>
      <c r="G80" s="120"/>
      <c r="H80" s="39">
        <f t="shared" si="31"/>
        <v>0</v>
      </c>
      <c r="I80" s="26"/>
      <c r="J80" s="120"/>
      <c r="K80" s="39">
        <f t="shared" si="32"/>
        <v>0</v>
      </c>
      <c r="L80" s="26">
        <v>140</v>
      </c>
      <c r="M80" s="120"/>
      <c r="N80" s="39">
        <f t="shared" si="33"/>
        <v>140</v>
      </c>
      <c r="O80" s="26">
        <v>140</v>
      </c>
      <c r="P80" s="120"/>
      <c r="Q80" s="39">
        <f t="shared" si="34"/>
        <v>140</v>
      </c>
      <c r="R80" s="50">
        <f>Q80/E80</f>
        <v>3.0344034156978794</v>
      </c>
      <c r="S80" s="26">
        <v>0</v>
      </c>
      <c r="T80" s="120"/>
      <c r="U80" s="39">
        <f t="shared" si="35"/>
        <v>0</v>
      </c>
      <c r="V80" s="26">
        <v>0</v>
      </c>
      <c r="W80" s="120"/>
      <c r="X80" s="39">
        <f t="shared" si="36"/>
        <v>0</v>
      </c>
      <c r="Y80" s="26">
        <f>O80</f>
        <v>140</v>
      </c>
      <c r="Z80" s="120"/>
      <c r="AA80" s="39">
        <f t="shared" si="37"/>
        <v>140</v>
      </c>
      <c r="AB80" s="50">
        <f t="shared" si="8"/>
        <v>3.0344034156978794</v>
      </c>
    </row>
    <row r="81" spans="1:28" ht="25.5" x14ac:dyDescent="0.25">
      <c r="A81" s="24" t="s">
        <v>109</v>
      </c>
      <c r="B81" s="32" t="s">
        <v>110</v>
      </c>
      <c r="C81" s="26">
        <f>C83+C84+C85+C86</f>
        <v>10871.700769999999</v>
      </c>
      <c r="D81" s="118">
        <f>D83+D84+D85+D86</f>
        <v>784.69159999999999</v>
      </c>
      <c r="E81" s="39">
        <f t="shared" si="0"/>
        <v>10087.009169999999</v>
      </c>
      <c r="F81" s="26">
        <f>F83+F84+F85+F86</f>
        <v>509.92895000000004</v>
      </c>
      <c r="G81" s="118">
        <f>G83+G84+G85+G86</f>
        <v>0</v>
      </c>
      <c r="H81" s="39">
        <f t="shared" si="31"/>
        <v>509.92895000000004</v>
      </c>
      <c r="I81" s="26">
        <f>I83+I84+I85+I86</f>
        <v>1908.2549399999998</v>
      </c>
      <c r="J81" s="118"/>
      <c r="K81" s="39">
        <f t="shared" si="32"/>
        <v>1908.2549399999998</v>
      </c>
      <c r="L81" s="26">
        <f>L83+L84+L85+L86+8200</f>
        <v>34575.724000000002</v>
      </c>
      <c r="M81" s="118">
        <f>M83+M84+M85+M86</f>
        <v>2661.3</v>
      </c>
      <c r="N81" s="39">
        <f t="shared" si="33"/>
        <v>31914.424000000003</v>
      </c>
      <c r="O81" s="26">
        <f>O83+O84+O85+O86+8200</f>
        <v>32801.867630000001</v>
      </c>
      <c r="P81" s="26">
        <f>P83+P84+P85+P86</f>
        <v>2661.3</v>
      </c>
      <c r="Q81" s="39">
        <f t="shared" si="34"/>
        <v>30140.567630000001</v>
      </c>
      <c r="R81" s="50">
        <f t="shared" ref="R81:R104" si="58">Q81/E81</f>
        <v>2.9880579190551093</v>
      </c>
      <c r="S81" s="26">
        <f>S83+S84+S85+S86</f>
        <v>2230.6279800000002</v>
      </c>
      <c r="T81" s="26">
        <f>T83+T84+T85+T86</f>
        <v>0</v>
      </c>
      <c r="U81" s="39">
        <f t="shared" si="35"/>
        <v>2230.6279800000002</v>
      </c>
      <c r="V81" s="26">
        <f>V83+V84+V85+V86</f>
        <v>27</v>
      </c>
      <c r="W81" s="118">
        <f>W83+W84+W85+W86</f>
        <v>0</v>
      </c>
      <c r="X81" s="39">
        <f t="shared" si="36"/>
        <v>27</v>
      </c>
      <c r="Y81" s="26">
        <f>O81</f>
        <v>32801.867630000001</v>
      </c>
      <c r="Z81" s="118">
        <f>P81</f>
        <v>2661.3</v>
      </c>
      <c r="AA81" s="39">
        <f t="shared" si="37"/>
        <v>30140.567630000001</v>
      </c>
      <c r="AB81" s="50">
        <f t="shared" si="8"/>
        <v>2.9880579190551093</v>
      </c>
    </row>
    <row r="82" spans="1:28" x14ac:dyDescent="0.25">
      <c r="A82" s="24"/>
      <c r="B82" s="32" t="s">
        <v>17</v>
      </c>
      <c r="C82" s="26"/>
      <c r="D82" s="118"/>
      <c r="E82" s="39"/>
      <c r="F82" s="26"/>
      <c r="G82" s="118"/>
      <c r="H82" s="39"/>
      <c r="I82" s="26"/>
      <c r="J82" s="118"/>
      <c r="K82" s="39"/>
      <c r="L82" s="26"/>
      <c r="M82" s="118"/>
      <c r="N82" s="39"/>
      <c r="O82" s="26"/>
      <c r="P82" s="118"/>
      <c r="Q82" s="39"/>
      <c r="R82" s="50"/>
      <c r="S82" s="26"/>
      <c r="T82" s="118"/>
      <c r="U82" s="39"/>
      <c r="V82" s="26"/>
      <c r="W82" s="118"/>
      <c r="X82" s="39"/>
      <c r="Y82" s="26"/>
      <c r="Z82" s="118"/>
      <c r="AA82" s="39"/>
      <c r="AB82" s="50"/>
    </row>
    <row r="83" spans="1:28" ht="76.5" x14ac:dyDescent="0.25">
      <c r="A83" s="24"/>
      <c r="B83" s="32" t="s">
        <v>111</v>
      </c>
      <c r="C83" s="26">
        <f>8113.01314</f>
        <v>8113.01314</v>
      </c>
      <c r="D83" s="118"/>
      <c r="E83" s="39">
        <f t="shared" si="0"/>
        <v>8113.01314</v>
      </c>
      <c r="F83" s="26">
        <f>486.27593</f>
        <v>486.27593000000002</v>
      </c>
      <c r="G83" s="118"/>
      <c r="H83" s="39">
        <f t="shared" si="31"/>
        <v>486.27593000000002</v>
      </c>
      <c r="I83" s="26">
        <f>1329.96406-F83</f>
        <v>843.68813</v>
      </c>
      <c r="J83" s="118"/>
      <c r="K83" s="39">
        <f t="shared" si="32"/>
        <v>843.68813</v>
      </c>
      <c r="L83" s="26">
        <v>3548.9</v>
      </c>
      <c r="M83" s="118">
        <f>63.9</f>
        <v>63.9</v>
      </c>
      <c r="N83" s="39">
        <f t="shared" si="33"/>
        <v>3485</v>
      </c>
      <c r="O83" s="26">
        <f>3548.9</f>
        <v>3548.9</v>
      </c>
      <c r="P83" s="118">
        <v>63.9</v>
      </c>
      <c r="Q83" s="39">
        <f t="shared" si="34"/>
        <v>3485</v>
      </c>
      <c r="R83" s="50">
        <f t="shared" si="58"/>
        <v>0.42955680458814099</v>
      </c>
      <c r="S83" s="26">
        <v>1389.4843499999999</v>
      </c>
      <c r="T83" s="118">
        <v>0</v>
      </c>
      <c r="U83" s="39">
        <f t="shared" si="35"/>
        <v>1389.4843499999999</v>
      </c>
      <c r="V83" s="26">
        <v>0</v>
      </c>
      <c r="W83" s="118"/>
      <c r="X83" s="39">
        <f t="shared" si="36"/>
        <v>0</v>
      </c>
      <c r="Y83" s="26">
        <f>O83</f>
        <v>3548.9</v>
      </c>
      <c r="Z83" s="118">
        <f>P83</f>
        <v>63.9</v>
      </c>
      <c r="AA83" s="39">
        <f t="shared" si="37"/>
        <v>3485</v>
      </c>
      <c r="AB83" s="50">
        <f t="shared" si="8"/>
        <v>0.42955680458814099</v>
      </c>
    </row>
    <row r="84" spans="1:28" ht="25.5" x14ac:dyDescent="0.25">
      <c r="A84" s="24"/>
      <c r="B84" s="32" t="s">
        <v>112</v>
      </c>
      <c r="C84" s="26">
        <f>1327.34575-C103</f>
        <v>1327.34575</v>
      </c>
      <c r="D84" s="118"/>
      <c r="E84" s="39">
        <f t="shared" si="0"/>
        <v>1327.34575</v>
      </c>
      <c r="F84" s="26">
        <f>8.08598</f>
        <v>8.0859799999999993</v>
      </c>
      <c r="G84" s="118"/>
      <c r="H84" s="39">
        <f t="shared" si="31"/>
        <v>8.0859799999999993</v>
      </c>
      <c r="I84" s="26">
        <f>1045.07989-F84</f>
        <v>1036.9939099999999</v>
      </c>
      <c r="J84" s="118"/>
      <c r="K84" s="39">
        <f t="shared" si="32"/>
        <v>1036.9939099999999</v>
      </c>
      <c r="L84" s="26">
        <v>0</v>
      </c>
      <c r="M84" s="118"/>
      <c r="N84" s="39">
        <f t="shared" si="33"/>
        <v>0</v>
      </c>
      <c r="O84" s="26">
        <f>250.12256</f>
        <v>250.12255999999999</v>
      </c>
      <c r="P84" s="118"/>
      <c r="Q84" s="39">
        <f t="shared" si="34"/>
        <v>250.12255999999999</v>
      </c>
      <c r="R84" s="50">
        <f t="shared" si="58"/>
        <v>0.18843813678538543</v>
      </c>
      <c r="S84" s="26">
        <v>250.12255999999999</v>
      </c>
      <c r="T84" s="118"/>
      <c r="U84" s="39">
        <f t="shared" si="35"/>
        <v>250.12255999999999</v>
      </c>
      <c r="V84" s="26">
        <v>2</v>
      </c>
      <c r="W84" s="118"/>
      <c r="X84" s="39">
        <f t="shared" si="36"/>
        <v>2</v>
      </c>
      <c r="Y84" s="26">
        <f t="shared" ref="Y84:Y86" si="59">O84</f>
        <v>250.12255999999999</v>
      </c>
      <c r="Z84" s="118">
        <f t="shared" ref="Z84:Z86" si="60">P84</f>
        <v>0</v>
      </c>
      <c r="AA84" s="39">
        <f t="shared" si="37"/>
        <v>250.12255999999999</v>
      </c>
      <c r="AB84" s="50">
        <f t="shared" si="8"/>
        <v>0.18843813678538543</v>
      </c>
    </row>
    <row r="85" spans="1:28" ht="25.5" x14ac:dyDescent="0.25">
      <c r="A85" s="24"/>
      <c r="B85" s="32" t="s">
        <v>113</v>
      </c>
      <c r="C85" s="26">
        <f>1811.79135-C104</f>
        <v>1431.3418799999999</v>
      </c>
      <c r="D85" s="118">
        <f>784.6916</f>
        <v>784.69159999999999</v>
      </c>
      <c r="E85" s="39">
        <f t="shared" si="0"/>
        <v>646.65027999999995</v>
      </c>
      <c r="F85" s="26">
        <f>15.56704</f>
        <v>15.56704</v>
      </c>
      <c r="G85" s="118"/>
      <c r="H85" s="39">
        <f t="shared" si="31"/>
        <v>15.56704</v>
      </c>
      <c r="I85" s="26">
        <f>43.13994-F85</f>
        <v>27.572900000000004</v>
      </c>
      <c r="J85" s="118"/>
      <c r="K85" s="39">
        <f t="shared" si="32"/>
        <v>27.572900000000004</v>
      </c>
      <c r="L85" s="26">
        <v>2826.8240000000001</v>
      </c>
      <c r="M85" s="118">
        <f>2597.4</f>
        <v>2597.4</v>
      </c>
      <c r="N85" s="39">
        <f t="shared" si="33"/>
        <v>229.42399999999998</v>
      </c>
      <c r="O85" s="26">
        <f>3998.14407-O104</f>
        <v>3414.8450699999999</v>
      </c>
      <c r="P85" s="118">
        <v>2597.4</v>
      </c>
      <c r="Q85" s="39">
        <f t="shared" si="34"/>
        <v>817.44506999999976</v>
      </c>
      <c r="R85" s="50">
        <f t="shared" si="58"/>
        <v>1.2641223475539203</v>
      </c>
      <c r="S85" s="26">
        <f>616.40907-S104</f>
        <v>591.02107000000001</v>
      </c>
      <c r="T85" s="118">
        <v>0</v>
      </c>
      <c r="U85" s="39">
        <f t="shared" si="35"/>
        <v>591.02107000000001</v>
      </c>
      <c r="V85" s="26">
        <v>25</v>
      </c>
      <c r="W85" s="118"/>
      <c r="X85" s="39">
        <f t="shared" si="36"/>
        <v>25</v>
      </c>
      <c r="Y85" s="26">
        <f t="shared" si="59"/>
        <v>3414.8450699999999</v>
      </c>
      <c r="Z85" s="118">
        <f t="shared" si="60"/>
        <v>2597.4</v>
      </c>
      <c r="AA85" s="39">
        <f t="shared" si="37"/>
        <v>817.44506999999976</v>
      </c>
      <c r="AB85" s="50">
        <f t="shared" si="8"/>
        <v>1.2641223475539203</v>
      </c>
    </row>
    <row r="86" spans="1:28" x14ac:dyDescent="0.25">
      <c r="A86" s="24"/>
      <c r="B86" s="32" t="s">
        <v>114</v>
      </c>
      <c r="C86" s="26"/>
      <c r="D86" s="118"/>
      <c r="E86" s="39">
        <f t="shared" si="0"/>
        <v>0</v>
      </c>
      <c r="F86" s="26"/>
      <c r="G86" s="118"/>
      <c r="H86" s="39">
        <f t="shared" si="31"/>
        <v>0</v>
      </c>
      <c r="I86" s="26"/>
      <c r="J86" s="118"/>
      <c r="K86" s="39">
        <f t="shared" si="32"/>
        <v>0</v>
      </c>
      <c r="L86" s="26">
        <v>20000</v>
      </c>
      <c r="M86" s="118"/>
      <c r="N86" s="39">
        <f t="shared" si="33"/>
        <v>20000</v>
      </c>
      <c r="O86" s="26">
        <v>17388</v>
      </c>
      <c r="P86" s="118"/>
      <c r="Q86" s="39">
        <f t="shared" si="34"/>
        <v>17388</v>
      </c>
      <c r="R86" s="50" t="e">
        <f t="shared" si="58"/>
        <v>#DIV/0!</v>
      </c>
      <c r="S86" s="26"/>
      <c r="T86" s="118"/>
      <c r="U86" s="39">
        <f t="shared" si="35"/>
        <v>0</v>
      </c>
      <c r="V86" s="26"/>
      <c r="W86" s="118"/>
      <c r="X86" s="39">
        <f t="shared" si="36"/>
        <v>0</v>
      </c>
      <c r="Y86" s="26">
        <f t="shared" si="59"/>
        <v>17388</v>
      </c>
      <c r="Z86" s="118">
        <f t="shared" si="60"/>
        <v>0</v>
      </c>
      <c r="AA86" s="39">
        <f t="shared" si="37"/>
        <v>17388</v>
      </c>
      <c r="AB86" s="50" t="e">
        <f t="shared" si="8"/>
        <v>#DIV/0!</v>
      </c>
    </row>
    <row r="87" spans="1:28" x14ac:dyDescent="0.25">
      <c r="A87" s="15" t="s">
        <v>115</v>
      </c>
      <c r="B87" s="65" t="s">
        <v>116</v>
      </c>
      <c r="C87" s="49">
        <f>C88+C92+C97+C98+C99+C100</f>
        <v>295125.47236000001</v>
      </c>
      <c r="D87" s="49">
        <f>D88+D92+D97+D98+D99+D100</f>
        <v>80997.484689999997</v>
      </c>
      <c r="E87" s="39">
        <f t="shared" si="0"/>
        <v>214127.98767</v>
      </c>
      <c r="F87" s="49">
        <f>F88+F92+F97+F98+F99+F100</f>
        <v>25635.7837</v>
      </c>
      <c r="G87" s="49">
        <f>G88+G92+G97+G98+G99+G100</f>
        <v>389.56400000000002</v>
      </c>
      <c r="H87" s="39">
        <f t="shared" si="31"/>
        <v>25246.219700000001</v>
      </c>
      <c r="I87" s="49">
        <f>I88+I92+I97+I98+I99+I100</f>
        <v>14994.561369999999</v>
      </c>
      <c r="J87" s="49">
        <f>J88+J92+J97+J98+J99+J100</f>
        <v>193.53141999999997</v>
      </c>
      <c r="K87" s="39">
        <f t="shared" si="32"/>
        <v>14801.02995</v>
      </c>
      <c r="L87" s="49">
        <f>L88+L92+L97+L98+L99+L100</f>
        <v>259162.66295000003</v>
      </c>
      <c r="M87" s="49">
        <f>M88+M92+M97+M98+M99+M100</f>
        <v>51546.551950000001</v>
      </c>
      <c r="N87" s="39">
        <f t="shared" si="33"/>
        <v>207616.11100000003</v>
      </c>
      <c r="O87" s="49">
        <f>O88+O92+O97+O98+O99+O100</f>
        <v>263412.66295000003</v>
      </c>
      <c r="P87" s="49">
        <f>P88+P92+P97+P98+P99+P100</f>
        <v>55796.551950000001</v>
      </c>
      <c r="Q87" s="39">
        <f t="shared" si="34"/>
        <v>207616.11100000003</v>
      </c>
      <c r="R87" s="50">
        <f t="shared" si="58"/>
        <v>0.96958885785619187</v>
      </c>
      <c r="S87" s="49">
        <f>S88+S92+S97+S98+S99+S100</f>
        <v>24713.320729999999</v>
      </c>
      <c r="T87" s="49">
        <f>T88+T92+T97+T98+T99+T100</f>
        <v>177.08179999999999</v>
      </c>
      <c r="U87" s="39">
        <f t="shared" si="35"/>
        <v>24536.23893</v>
      </c>
      <c r="V87" s="49">
        <f>V88+V92+V97+V98+V99+V100</f>
        <v>9548.5</v>
      </c>
      <c r="W87" s="49">
        <f>W88+W92+W97+W98+W99+W100</f>
        <v>318.5</v>
      </c>
      <c r="X87" s="39">
        <f t="shared" si="36"/>
        <v>9230</v>
      </c>
      <c r="Y87" s="49">
        <f>Y88+Y92+Y97+Y98+Y99+Y100</f>
        <v>264025.55007999996</v>
      </c>
      <c r="Z87" s="49">
        <f>Z88+Z92+Z97+Z98+Z99+Z100</f>
        <v>55796.551950000001</v>
      </c>
      <c r="AA87" s="39">
        <f t="shared" si="37"/>
        <v>208228.99812999996</v>
      </c>
      <c r="AB87" s="50">
        <f t="shared" si="8"/>
        <v>0.97245110457446982</v>
      </c>
    </row>
    <row r="88" spans="1:28" ht="38.25" x14ac:dyDescent="0.25">
      <c r="A88" s="24" t="s">
        <v>117</v>
      </c>
      <c r="B88" s="32" t="s">
        <v>118</v>
      </c>
      <c r="C88" s="26">
        <f>C90+C91+203.14453+1086.80957+382.5789+429.7995</f>
        <v>101320.20597</v>
      </c>
      <c r="D88" s="26">
        <f>D90+D91</f>
        <v>528.85699</v>
      </c>
      <c r="E88" s="39">
        <f>C88-D88</f>
        <v>100791.34898</v>
      </c>
      <c r="F88" s="26">
        <f>815.56598+330.94236+2333.32024+546.94288+2535.93349+593.18167+8466.89083+57.575+2078.33878</f>
        <v>17758.69123</v>
      </c>
      <c r="G88" s="118"/>
      <c r="H88" s="39">
        <f t="shared" si="31"/>
        <v>17758.69123</v>
      </c>
      <c r="I88" s="26">
        <f>13132.2843+57.575+3046.17472+3371.13911+793.15555+3764.09289+883.15719+1418.2163+33.178+424.48832-F88</f>
        <v>9164.7701500000003</v>
      </c>
      <c r="J88" s="118">
        <f>J90+J91</f>
        <v>0</v>
      </c>
      <c r="K88" s="39">
        <f t="shared" si="32"/>
        <v>9164.7701500000003</v>
      </c>
      <c r="L88" s="26">
        <f>L90+L91+2085</f>
        <v>96825.837809999997</v>
      </c>
      <c r="M88" s="118">
        <f>M90+M91</f>
        <v>0</v>
      </c>
      <c r="N88" s="39">
        <f t="shared" si="33"/>
        <v>96825.837809999997</v>
      </c>
      <c r="O88" s="26">
        <f>O90+O91+480+30+1005+538.52791</f>
        <v>96789.366719999991</v>
      </c>
      <c r="P88" s="118">
        <f>P90+P91</f>
        <v>0</v>
      </c>
      <c r="Q88" s="39">
        <f t="shared" si="34"/>
        <v>96789.366719999991</v>
      </c>
      <c r="R88" s="50">
        <f t="shared" si="58"/>
        <v>0.96029438736062445</v>
      </c>
      <c r="S88" s="26">
        <f>S90+S91+44+0+0+0</f>
        <v>17539.85643</v>
      </c>
      <c r="T88" s="118">
        <f>T90+T91</f>
        <v>0</v>
      </c>
      <c r="U88" s="39">
        <f t="shared" si="35"/>
        <v>17539.85643</v>
      </c>
      <c r="V88" s="26">
        <f>V90+V91+48</f>
        <v>7358.9</v>
      </c>
      <c r="W88" s="118">
        <f>W90+W91</f>
        <v>0</v>
      </c>
      <c r="X88" s="39">
        <f t="shared" si="36"/>
        <v>7358.9</v>
      </c>
      <c r="Y88" s="26">
        <f>O88</f>
        <v>96789.366719999991</v>
      </c>
      <c r="Z88" s="118">
        <f>P88</f>
        <v>0</v>
      </c>
      <c r="AA88" s="39">
        <f t="shared" si="37"/>
        <v>96789.366719999991</v>
      </c>
      <c r="AB88" s="50">
        <f t="shared" si="8"/>
        <v>0.96029438736062445</v>
      </c>
    </row>
    <row r="89" spans="1:28" x14ac:dyDescent="0.25">
      <c r="A89" s="24"/>
      <c r="B89" s="32" t="s">
        <v>17</v>
      </c>
      <c r="C89" s="26"/>
      <c r="D89" s="118"/>
      <c r="E89" s="39"/>
      <c r="F89" s="26"/>
      <c r="G89" s="118"/>
      <c r="H89" s="39"/>
      <c r="I89" s="26"/>
      <c r="J89" s="118"/>
      <c r="K89" s="39"/>
      <c r="L89" s="26"/>
      <c r="M89" s="118"/>
      <c r="N89" s="39"/>
      <c r="O89" s="26"/>
      <c r="P89" s="118"/>
      <c r="Q89" s="39"/>
      <c r="R89" s="50"/>
      <c r="S89" s="26"/>
      <c r="T89" s="118"/>
      <c r="U89" s="39"/>
      <c r="V89" s="26"/>
      <c r="W89" s="118"/>
      <c r="X89" s="39"/>
      <c r="Y89" s="26"/>
      <c r="Z89" s="118"/>
      <c r="AA89" s="39"/>
      <c r="AB89" s="50"/>
    </row>
    <row r="90" spans="1:28" ht="25.5" x14ac:dyDescent="0.25">
      <c r="A90" s="24"/>
      <c r="B90" s="32" t="s">
        <v>119</v>
      </c>
      <c r="C90" s="26">
        <f>12996.88093+47584.50792+10979.56817+4623.84698</f>
        <v>76184.804000000004</v>
      </c>
      <c r="D90" s="118">
        <f>57.47126+68.96552+231.15425+57.47126</f>
        <v>415.06228999999996</v>
      </c>
      <c r="E90" s="39">
        <f>C90-D90</f>
        <v>75769.741710000002</v>
      </c>
      <c r="F90" s="26">
        <f>8466.89083+2535.93349+2333.32024+815.56598</f>
        <v>14151.71054</v>
      </c>
      <c r="G90" s="118"/>
      <c r="H90" s="39">
        <f>F90-G90</f>
        <v>14151.71054</v>
      </c>
      <c r="I90" s="26">
        <f>1418.2163+13132.2843+3371.13911+3764.09289-F90</f>
        <v>7534.0220599999993</v>
      </c>
      <c r="J90" s="118"/>
      <c r="K90" s="39">
        <f t="shared" si="32"/>
        <v>7534.0220599999993</v>
      </c>
      <c r="L90" s="26">
        <v>72758.522419999994</v>
      </c>
      <c r="M90" s="118">
        <v>0</v>
      </c>
      <c r="N90" s="39">
        <f t="shared" si="33"/>
        <v>72758.522419999994</v>
      </c>
      <c r="O90" s="26">
        <f>11384.1+4581.5+44000+12792.92242</f>
        <v>72758.522419999994</v>
      </c>
      <c r="P90" s="118"/>
      <c r="Q90" s="39">
        <f t="shared" si="34"/>
        <v>72758.522419999994</v>
      </c>
      <c r="R90" s="50">
        <f t="shared" si="58"/>
        <v>0.9602582875163399</v>
      </c>
      <c r="S90" s="26">
        <f>2270.50182+809.85087+8581.64359+2538.86625</f>
        <v>14200.862529999999</v>
      </c>
      <c r="T90" s="118"/>
      <c r="U90" s="39">
        <f t="shared" si="35"/>
        <v>14200.862529999999</v>
      </c>
      <c r="V90" s="26">
        <v>5615.2</v>
      </c>
      <c r="W90" s="118"/>
      <c r="X90" s="39">
        <f t="shared" si="36"/>
        <v>5615.2</v>
      </c>
      <c r="Y90" s="26">
        <f t="shared" ref="Y90:Y104" si="61">O90</f>
        <v>72758.522419999994</v>
      </c>
      <c r="Z90" s="118">
        <f t="shared" ref="Z90:Z104" si="62">P90</f>
        <v>0</v>
      </c>
      <c r="AA90" s="39">
        <f t="shared" si="37"/>
        <v>72758.522419999994</v>
      </c>
      <c r="AB90" s="50">
        <f t="shared" si="8"/>
        <v>0.9602582875163399</v>
      </c>
    </row>
    <row r="91" spans="1:28" ht="25.5" x14ac:dyDescent="0.25">
      <c r="A91" s="24"/>
      <c r="B91" s="32" t="s">
        <v>120</v>
      </c>
      <c r="C91" s="26">
        <f>3913.52058+14281.35242+3299.6846+1538.51187</f>
        <v>23033.069469999999</v>
      </c>
      <c r="D91" s="118">
        <f>17.35632+20.82759+58.25447+17.35632</f>
        <v>113.79469999999999</v>
      </c>
      <c r="E91" s="39">
        <f>C91-D91</f>
        <v>22919.27477</v>
      </c>
      <c r="F91" s="26">
        <f>330.94236+546.94288+593.18167+2078.33878</f>
        <v>3549.40569</v>
      </c>
      <c r="G91" s="118"/>
      <c r="H91" s="39">
        <f>F91-G91</f>
        <v>3549.40569</v>
      </c>
      <c r="I91" s="26">
        <f>883.15719+424.48832+3046.17472+793.15555-F91</f>
        <v>1597.5700900000006</v>
      </c>
      <c r="J91" s="118"/>
      <c r="K91" s="39">
        <f t="shared" si="32"/>
        <v>1597.5700900000006</v>
      </c>
      <c r="L91" s="26">
        <v>21982.31539</v>
      </c>
      <c r="M91" s="118">
        <v>0</v>
      </c>
      <c r="N91" s="39">
        <f t="shared" si="33"/>
        <v>21982.31539</v>
      </c>
      <c r="O91" s="26">
        <f>3863.41539+3438+1396.901+13279</f>
        <v>21977.31639</v>
      </c>
      <c r="P91" s="118"/>
      <c r="Q91" s="39">
        <f t="shared" si="34"/>
        <v>21977.31639</v>
      </c>
      <c r="R91" s="50">
        <f t="shared" si="58"/>
        <v>0.9589010389965319</v>
      </c>
      <c r="S91" s="26">
        <f>603.42988+490.69106+206.74993+1994.12303</f>
        <v>3294.9938999999999</v>
      </c>
      <c r="T91" s="118"/>
      <c r="U91" s="39">
        <f t="shared" si="35"/>
        <v>3294.9938999999999</v>
      </c>
      <c r="V91" s="26">
        <v>1695.7</v>
      </c>
      <c r="W91" s="118"/>
      <c r="X91" s="39">
        <f t="shared" si="36"/>
        <v>1695.7</v>
      </c>
      <c r="Y91" s="26">
        <f t="shared" si="61"/>
        <v>21977.31639</v>
      </c>
      <c r="Z91" s="118">
        <f t="shared" si="62"/>
        <v>0</v>
      </c>
      <c r="AA91" s="39">
        <f t="shared" si="37"/>
        <v>21977.31639</v>
      </c>
      <c r="AB91" s="50">
        <f t="shared" si="8"/>
        <v>0.9589010389965319</v>
      </c>
    </row>
    <row r="92" spans="1:28" ht="25.5" x14ac:dyDescent="0.25">
      <c r="A92" s="24" t="s">
        <v>121</v>
      </c>
      <c r="B92" s="32" t="s">
        <v>122</v>
      </c>
      <c r="C92" s="26">
        <f>1152.29503+36410.98929+3299.6846+152561.848</f>
        <v>193424.81692000001</v>
      </c>
      <c r="D92" s="118">
        <v>80468.627699999997</v>
      </c>
      <c r="E92" s="39">
        <f t="shared" si="0"/>
        <v>112956.18922000001</v>
      </c>
      <c r="F92" s="26">
        <f>790.506+353.135+128.71636+6591.63411</f>
        <v>7863.9914699999999</v>
      </c>
      <c r="G92" s="118">
        <v>389.56400000000002</v>
      </c>
      <c r="H92" s="39">
        <f>F92-G92</f>
        <v>7474.4274699999996</v>
      </c>
      <c r="I92" s="26">
        <f>13550.46731-F92</f>
        <v>5686.4758400000001</v>
      </c>
      <c r="J92" s="118">
        <f>583.09542-G92</f>
        <v>193.53141999999997</v>
      </c>
      <c r="K92" s="39">
        <f t="shared" si="32"/>
        <v>5492.9444199999998</v>
      </c>
      <c r="L92" s="26">
        <f>2500+22219.94+578.5+2297.271+5+2393.36219+2706.276+2167.9+48840.27595+10000+7000+750+5000+14549.8+25300+15450.2</f>
        <v>161758.52514000004</v>
      </c>
      <c r="M92" s="118">
        <f>2706.276+48840.27595</f>
        <v>51546.551950000001</v>
      </c>
      <c r="N92" s="39">
        <f t="shared" si="33"/>
        <v>110211.97319000005</v>
      </c>
      <c r="O92" s="26">
        <f>583.5+136014.45195+27017.211+2424.83428</f>
        <v>166039.99723000001</v>
      </c>
      <c r="P92" s="118">
        <v>55796.551950000001</v>
      </c>
      <c r="Q92" s="39">
        <f t="shared" si="34"/>
        <v>110243.44528000001</v>
      </c>
      <c r="R92" s="50">
        <f t="shared" si="58"/>
        <v>0.97598410535330204</v>
      </c>
      <c r="S92" s="26">
        <f>131.2895+714.4268+6112.98374+189.37626</f>
        <v>7148.0762999999997</v>
      </c>
      <c r="T92" s="118">
        <v>177.08179999999999</v>
      </c>
      <c r="U92" s="39">
        <f t="shared" si="35"/>
        <v>6970.9944999999998</v>
      </c>
      <c r="V92" s="26">
        <v>2089.6</v>
      </c>
      <c r="W92" s="118">
        <v>318.5</v>
      </c>
      <c r="X92" s="39">
        <f t="shared" si="36"/>
        <v>1771.1</v>
      </c>
      <c r="Y92" s="26">
        <f>O92+612.88713</f>
        <v>166652.88436</v>
      </c>
      <c r="Z92" s="118">
        <f t="shared" si="62"/>
        <v>55796.551950000001</v>
      </c>
      <c r="AA92" s="39">
        <f t="shared" si="37"/>
        <v>110856.33241</v>
      </c>
      <c r="AB92" s="50">
        <f t="shared" si="8"/>
        <v>0.98140998891251363</v>
      </c>
    </row>
    <row r="93" spans="1:28" x14ac:dyDescent="0.25">
      <c r="A93" s="51"/>
      <c r="B93" s="32" t="s">
        <v>7</v>
      </c>
      <c r="C93" s="26"/>
      <c r="D93" s="26"/>
      <c r="E93" s="39"/>
      <c r="F93" s="26"/>
      <c r="G93" s="26"/>
      <c r="H93" s="39"/>
      <c r="I93" s="26"/>
      <c r="J93" s="26"/>
      <c r="K93" s="39"/>
      <c r="L93" s="26"/>
      <c r="M93" s="26"/>
      <c r="N93" s="39"/>
      <c r="O93" s="26"/>
      <c r="P93" s="26"/>
      <c r="Q93" s="39"/>
      <c r="R93" s="50"/>
      <c r="S93" s="26"/>
      <c r="T93" s="26"/>
      <c r="U93" s="39"/>
      <c r="V93" s="26"/>
      <c r="W93" s="26"/>
      <c r="X93" s="39"/>
      <c r="Y93" s="26"/>
      <c r="Z93" s="118"/>
      <c r="AA93" s="39"/>
      <c r="AB93" s="50"/>
    </row>
    <row r="94" spans="1:28" ht="21" customHeight="1" x14ac:dyDescent="0.25">
      <c r="A94" s="24"/>
      <c r="B94" s="32" t="s">
        <v>106</v>
      </c>
      <c r="C94" s="26">
        <f>282.25347+6682.02899</f>
        <v>6964.2824599999994</v>
      </c>
      <c r="D94" s="158"/>
      <c r="E94" s="39">
        <f t="shared" ref="E94:E96" si="63">C94-D94</f>
        <v>6964.2824599999994</v>
      </c>
      <c r="F94" s="26">
        <f>1292.249</f>
        <v>1292.249</v>
      </c>
      <c r="G94" s="118"/>
      <c r="H94" s="39">
        <f t="shared" si="31"/>
        <v>1292.249</v>
      </c>
      <c r="I94" s="26">
        <f>1710.6-F94</f>
        <v>418.35099999999989</v>
      </c>
      <c r="J94" s="118"/>
      <c r="K94" s="39">
        <f t="shared" ref="K94:K96" si="64">I94-J94</f>
        <v>418.35099999999989</v>
      </c>
      <c r="L94" s="26">
        <f>7421.7+0</f>
        <v>7421.7</v>
      </c>
      <c r="M94" s="118"/>
      <c r="N94" s="39">
        <f t="shared" ref="N94:N96" si="65">L94-M94</f>
        <v>7421.7</v>
      </c>
      <c r="O94" s="26">
        <f>8810.628+0</f>
        <v>8810.6280000000006</v>
      </c>
      <c r="P94" s="118"/>
      <c r="Q94" s="39">
        <f t="shared" ref="Q94:Q96" si="66">O94-P94</f>
        <v>8810.6280000000006</v>
      </c>
      <c r="R94" s="50"/>
      <c r="S94" s="26">
        <f>2064.743</f>
        <v>2064.7429999999999</v>
      </c>
      <c r="T94" s="118"/>
      <c r="U94" s="39">
        <f t="shared" ref="U94:U96" si="67">S94-T94</f>
        <v>2064.7429999999999</v>
      </c>
      <c r="V94" s="26">
        <v>641.20000000000005</v>
      </c>
      <c r="W94" s="118"/>
      <c r="X94" s="39">
        <f t="shared" ref="X94:X96" si="68">V94-W94</f>
        <v>641.20000000000005</v>
      </c>
      <c r="Y94" s="26">
        <f t="shared" si="61"/>
        <v>8810.6280000000006</v>
      </c>
      <c r="Z94" s="118">
        <f t="shared" si="62"/>
        <v>0</v>
      </c>
      <c r="AA94" s="39">
        <f t="shared" ref="AA94:AA96" si="69">Y94-Z94</f>
        <v>8810.6280000000006</v>
      </c>
      <c r="AB94" s="50"/>
    </row>
    <row r="95" spans="1:28" ht="25.5" x14ac:dyDescent="0.25">
      <c r="A95" s="24"/>
      <c r="B95" s="32" t="s">
        <v>83</v>
      </c>
      <c r="C95" s="26">
        <f>9367.5252+4.15+91931.58243</f>
        <v>101303.25762999999</v>
      </c>
      <c r="D95" s="158">
        <f>45811.89027</f>
        <v>45811.890270000004</v>
      </c>
      <c r="E95" s="39">
        <f t="shared" si="63"/>
        <v>55491.367359999989</v>
      </c>
      <c r="F95" s="26">
        <v>84.938000000000002</v>
      </c>
      <c r="G95" s="118"/>
      <c r="H95" s="39">
        <f t="shared" si="31"/>
        <v>84.938000000000002</v>
      </c>
      <c r="I95" s="26">
        <f>0+714.9-F95</f>
        <v>629.96199999999999</v>
      </c>
      <c r="J95" s="118"/>
      <c r="K95" s="39">
        <f t="shared" si="64"/>
        <v>629.96199999999999</v>
      </c>
      <c r="L95" s="26">
        <f>5082.6+98690.07595</f>
        <v>103772.67595</v>
      </c>
      <c r="M95" s="118">
        <v>48840.275950000003</v>
      </c>
      <c r="N95" s="39">
        <f t="shared" si="65"/>
        <v>54932.4</v>
      </c>
      <c r="O95" s="26">
        <f>3142.817+103690.07595</f>
        <v>106832.89294999999</v>
      </c>
      <c r="P95" s="118">
        <f>53090.27</f>
        <v>53090.27</v>
      </c>
      <c r="Q95" s="39">
        <f t="shared" si="66"/>
        <v>53742.622949999997</v>
      </c>
      <c r="R95" s="50">
        <f t="shared" ref="R95:R96" si="70">Q95/E95</f>
        <v>0.96848618995716895</v>
      </c>
      <c r="S95" s="26">
        <f>463.02</f>
        <v>463.02</v>
      </c>
      <c r="T95" s="118"/>
      <c r="U95" s="39">
        <f t="shared" si="67"/>
        <v>463.02</v>
      </c>
      <c r="V95" s="26">
        <v>112.3</v>
      </c>
      <c r="W95" s="118"/>
      <c r="X95" s="39">
        <f t="shared" si="68"/>
        <v>112.3</v>
      </c>
      <c r="Y95" s="26">
        <f t="shared" si="61"/>
        <v>106832.89294999999</v>
      </c>
      <c r="Z95" s="118">
        <f t="shared" si="62"/>
        <v>53090.27</v>
      </c>
      <c r="AA95" s="39">
        <f t="shared" si="69"/>
        <v>53742.622949999997</v>
      </c>
      <c r="AB95" s="50">
        <f t="shared" ref="AB95:AB96" si="71">AA95/E95</f>
        <v>0.96848618995716895</v>
      </c>
    </row>
    <row r="96" spans="1:28" ht="25.5" x14ac:dyDescent="0.25">
      <c r="A96" s="24"/>
      <c r="B96" s="32" t="s">
        <v>84</v>
      </c>
      <c r="C96" s="26">
        <f>3895.418+27.5+161.0058+2574.5004</f>
        <v>6658.4241999999995</v>
      </c>
      <c r="D96" s="158">
        <f>482.56741</f>
        <v>482.56741</v>
      </c>
      <c r="E96" s="39">
        <f t="shared" si="63"/>
        <v>6175.8567899999998</v>
      </c>
      <c r="F96" s="26">
        <f>16.514+187.038</f>
        <v>203.55200000000002</v>
      </c>
      <c r="G96" s="118"/>
      <c r="H96" s="39">
        <f t="shared" si="31"/>
        <v>203.55200000000002</v>
      </c>
      <c r="I96" s="26">
        <f>0+18+187.038-F96</f>
        <v>1.48599999999999</v>
      </c>
      <c r="J96" s="118"/>
      <c r="K96" s="39">
        <f t="shared" si="64"/>
        <v>1.48599999999999</v>
      </c>
      <c r="L96" s="26">
        <f>5196.8+7000</f>
        <v>12196.8</v>
      </c>
      <c r="M96" s="118"/>
      <c r="N96" s="39">
        <f t="shared" si="65"/>
        <v>12196.8</v>
      </c>
      <c r="O96" s="26">
        <f>4910.511+6462.65</f>
        <v>11373.161</v>
      </c>
      <c r="P96" s="118"/>
      <c r="Q96" s="39">
        <f t="shared" si="66"/>
        <v>11373.161</v>
      </c>
      <c r="R96" s="50">
        <f t="shared" si="70"/>
        <v>1.8415519314527371</v>
      </c>
      <c r="S96" s="26">
        <f>28.291</f>
        <v>28.291</v>
      </c>
      <c r="T96" s="118"/>
      <c r="U96" s="39">
        <f t="shared" si="67"/>
        <v>28.291</v>
      </c>
      <c r="V96" s="26">
        <v>0</v>
      </c>
      <c r="W96" s="118"/>
      <c r="X96" s="39">
        <f t="shared" si="68"/>
        <v>0</v>
      </c>
      <c r="Y96" s="26">
        <f t="shared" si="61"/>
        <v>11373.161</v>
      </c>
      <c r="Z96" s="118">
        <f t="shared" si="62"/>
        <v>0</v>
      </c>
      <c r="AA96" s="39">
        <f t="shared" si="69"/>
        <v>11373.161</v>
      </c>
      <c r="AB96" s="50">
        <f t="shared" si="71"/>
        <v>1.8415519314527371</v>
      </c>
    </row>
    <row r="97" spans="1:28" ht="25.5" x14ac:dyDescent="0.25">
      <c r="A97" s="24" t="s">
        <v>123</v>
      </c>
      <c r="B97" s="32" t="s">
        <v>124</v>
      </c>
      <c r="C97" s="26"/>
      <c r="D97" s="118"/>
      <c r="E97" s="39">
        <f t="shared" si="0"/>
        <v>0</v>
      </c>
      <c r="F97" s="26"/>
      <c r="G97" s="118"/>
      <c r="H97" s="39">
        <f t="shared" si="31"/>
        <v>0</v>
      </c>
      <c r="I97" s="26"/>
      <c r="J97" s="118"/>
      <c r="K97" s="39">
        <f t="shared" si="32"/>
        <v>0</v>
      </c>
      <c r="L97" s="26"/>
      <c r="M97" s="118"/>
      <c r="N97" s="39">
        <f t="shared" si="33"/>
        <v>0</v>
      </c>
      <c r="O97" s="26"/>
      <c r="P97" s="118"/>
      <c r="Q97" s="39">
        <f t="shared" si="34"/>
        <v>0</v>
      </c>
      <c r="R97" s="50" t="e">
        <f t="shared" si="58"/>
        <v>#DIV/0!</v>
      </c>
      <c r="S97" s="26"/>
      <c r="T97" s="118"/>
      <c r="U97" s="39">
        <f t="shared" si="35"/>
        <v>0</v>
      </c>
      <c r="V97" s="26"/>
      <c r="W97" s="118"/>
      <c r="X97" s="39">
        <f t="shared" si="36"/>
        <v>0</v>
      </c>
      <c r="Y97" s="26"/>
      <c r="Z97" s="118"/>
      <c r="AA97" s="39">
        <f t="shared" si="37"/>
        <v>0</v>
      </c>
      <c r="AB97" s="50" t="e">
        <f t="shared" si="8"/>
        <v>#DIV/0!</v>
      </c>
    </row>
    <row r="98" spans="1:28" ht="25.5" x14ac:dyDescent="0.25">
      <c r="A98" s="24" t="s">
        <v>125</v>
      </c>
      <c r="B98" s="32" t="s">
        <v>126</v>
      </c>
      <c r="C98" s="26"/>
      <c r="D98" s="118"/>
      <c r="E98" s="39">
        <f t="shared" si="0"/>
        <v>0</v>
      </c>
      <c r="F98" s="26"/>
      <c r="G98" s="118"/>
      <c r="H98" s="39">
        <f t="shared" si="31"/>
        <v>0</v>
      </c>
      <c r="I98" s="26"/>
      <c r="J98" s="118"/>
      <c r="K98" s="39">
        <f t="shared" si="32"/>
        <v>0</v>
      </c>
      <c r="L98" s="26"/>
      <c r="M98" s="118"/>
      <c r="N98" s="39">
        <f t="shared" si="33"/>
        <v>0</v>
      </c>
      <c r="O98" s="26"/>
      <c r="P98" s="118"/>
      <c r="Q98" s="39">
        <f t="shared" si="34"/>
        <v>0</v>
      </c>
      <c r="R98" s="50" t="e">
        <f t="shared" si="58"/>
        <v>#DIV/0!</v>
      </c>
      <c r="S98" s="26"/>
      <c r="T98" s="118"/>
      <c r="U98" s="39">
        <f t="shared" si="35"/>
        <v>0</v>
      </c>
      <c r="V98" s="26"/>
      <c r="W98" s="118"/>
      <c r="X98" s="39">
        <f t="shared" si="36"/>
        <v>0</v>
      </c>
      <c r="Y98" s="26"/>
      <c r="Z98" s="118"/>
      <c r="AA98" s="39">
        <f t="shared" si="37"/>
        <v>0</v>
      </c>
      <c r="AB98" s="50" t="e">
        <f t="shared" si="8"/>
        <v>#DIV/0!</v>
      </c>
    </row>
    <row r="99" spans="1:28" x14ac:dyDescent="0.25">
      <c r="A99" s="24" t="s">
        <v>127</v>
      </c>
      <c r="B99" s="32" t="s">
        <v>90</v>
      </c>
      <c r="C99" s="26"/>
      <c r="D99" s="118"/>
      <c r="E99" s="39">
        <f t="shared" si="0"/>
        <v>0</v>
      </c>
      <c r="F99" s="26"/>
      <c r="G99" s="118"/>
      <c r="H99" s="39">
        <f t="shared" si="31"/>
        <v>0</v>
      </c>
      <c r="I99" s="26"/>
      <c r="J99" s="118"/>
      <c r="K99" s="39">
        <f t="shared" si="32"/>
        <v>0</v>
      </c>
      <c r="L99" s="26"/>
      <c r="M99" s="118"/>
      <c r="N99" s="39">
        <f t="shared" si="33"/>
        <v>0</v>
      </c>
      <c r="O99" s="26"/>
      <c r="P99" s="118"/>
      <c r="Q99" s="39">
        <f t="shared" si="34"/>
        <v>0</v>
      </c>
      <c r="R99" s="50" t="e">
        <f t="shared" si="58"/>
        <v>#DIV/0!</v>
      </c>
      <c r="S99" s="26"/>
      <c r="T99" s="118"/>
      <c r="U99" s="39">
        <f t="shared" si="35"/>
        <v>0</v>
      </c>
      <c r="V99" s="26"/>
      <c r="W99" s="118"/>
      <c r="X99" s="39">
        <f t="shared" si="36"/>
        <v>0</v>
      </c>
      <c r="Y99" s="26"/>
      <c r="Z99" s="118"/>
      <c r="AA99" s="39">
        <f t="shared" si="37"/>
        <v>0</v>
      </c>
      <c r="AB99" s="50" t="e">
        <f t="shared" si="8"/>
        <v>#DIV/0!</v>
      </c>
    </row>
    <row r="100" spans="1:28" x14ac:dyDescent="0.25">
      <c r="A100" s="24" t="s">
        <v>128</v>
      </c>
      <c r="B100" s="32" t="s">
        <v>129</v>
      </c>
      <c r="C100" s="26">
        <f>C102+C103+C104</f>
        <v>380.44947000000002</v>
      </c>
      <c r="D100" s="120"/>
      <c r="E100" s="39">
        <f t="shared" si="0"/>
        <v>380.44947000000002</v>
      </c>
      <c r="F100" s="26">
        <f>F102+F103+F104</f>
        <v>13.101000000000001</v>
      </c>
      <c r="G100" s="120"/>
      <c r="H100" s="39">
        <f t="shared" si="31"/>
        <v>13.101000000000001</v>
      </c>
      <c r="I100" s="26">
        <f>I104+I103+I102</f>
        <v>143.31538</v>
      </c>
      <c r="J100" s="120"/>
      <c r="K100" s="39">
        <f t="shared" si="32"/>
        <v>143.31538</v>
      </c>
      <c r="L100" s="26">
        <f>L102+L103+L104</f>
        <v>578.29999999999995</v>
      </c>
      <c r="M100" s="120">
        <f>-M102+M103+M104</f>
        <v>0</v>
      </c>
      <c r="N100" s="39">
        <f t="shared" si="33"/>
        <v>578.29999999999995</v>
      </c>
      <c r="O100" s="26">
        <f>O102+O103+O104</f>
        <v>583.29900000000009</v>
      </c>
      <c r="P100" s="120">
        <f>P102+P103+P104</f>
        <v>0</v>
      </c>
      <c r="Q100" s="39">
        <f t="shared" si="34"/>
        <v>583.29900000000009</v>
      </c>
      <c r="R100" s="50">
        <f t="shared" si="58"/>
        <v>1.5331838943027047</v>
      </c>
      <c r="S100" s="26">
        <f>S104</f>
        <v>25.388000000000002</v>
      </c>
      <c r="T100" s="120"/>
      <c r="U100" s="39">
        <f t="shared" si="35"/>
        <v>25.388000000000002</v>
      </c>
      <c r="V100" s="26">
        <f>V104</f>
        <v>100</v>
      </c>
      <c r="W100" s="120"/>
      <c r="X100" s="39">
        <f t="shared" si="36"/>
        <v>100</v>
      </c>
      <c r="Y100" s="26">
        <f t="shared" si="61"/>
        <v>583.29900000000009</v>
      </c>
      <c r="Z100" s="118">
        <f t="shared" si="62"/>
        <v>0</v>
      </c>
      <c r="AA100" s="39">
        <f t="shared" si="37"/>
        <v>583.29900000000009</v>
      </c>
      <c r="AB100" s="50">
        <f t="shared" si="8"/>
        <v>1.5331838943027047</v>
      </c>
    </row>
    <row r="101" spans="1:28" x14ac:dyDescent="0.25">
      <c r="A101" s="24"/>
      <c r="B101" s="32" t="s">
        <v>17</v>
      </c>
      <c r="C101" s="26"/>
      <c r="D101" s="120"/>
      <c r="E101" s="39"/>
      <c r="F101" s="26"/>
      <c r="G101" s="120"/>
      <c r="H101" s="39"/>
      <c r="I101" s="26"/>
      <c r="J101" s="120"/>
      <c r="K101" s="39"/>
      <c r="L101" s="26"/>
      <c r="M101" s="120"/>
      <c r="N101" s="39"/>
      <c r="O101" s="26"/>
      <c r="P101" s="120"/>
      <c r="Q101" s="39"/>
      <c r="R101" s="50"/>
      <c r="S101" s="26"/>
      <c r="T101" s="120"/>
      <c r="U101" s="39"/>
      <c r="V101" s="26"/>
      <c r="W101" s="120"/>
      <c r="X101" s="39"/>
      <c r="Y101" s="26"/>
      <c r="Z101" s="118"/>
      <c r="AA101" s="39"/>
      <c r="AB101" s="50"/>
    </row>
    <row r="102" spans="1:28" ht="71.25" customHeight="1" x14ac:dyDescent="0.25">
      <c r="A102" s="24"/>
      <c r="B102" s="32" t="s">
        <v>130</v>
      </c>
      <c r="C102" s="26"/>
      <c r="D102" s="120"/>
      <c r="E102" s="39">
        <f t="shared" ref="E102:E105" si="72">C102-D102</f>
        <v>0</v>
      </c>
      <c r="F102" s="26"/>
      <c r="G102" s="120"/>
      <c r="H102" s="39">
        <f t="shared" ref="H102:H104" si="73">F102-G102</f>
        <v>0</v>
      </c>
      <c r="I102" s="26"/>
      <c r="J102" s="120"/>
      <c r="K102" s="39">
        <f t="shared" ref="K102:K104" si="74">I102-J102</f>
        <v>0</v>
      </c>
      <c r="L102" s="26"/>
      <c r="M102" s="120"/>
      <c r="N102" s="39">
        <f t="shared" ref="N102:N104" si="75">L102-M102</f>
        <v>0</v>
      </c>
      <c r="O102" s="26"/>
      <c r="P102" s="120"/>
      <c r="Q102" s="39">
        <f t="shared" ref="Q102:Q104" si="76">O102-P102</f>
        <v>0</v>
      </c>
      <c r="R102" s="50" t="e">
        <f t="shared" si="58"/>
        <v>#DIV/0!</v>
      </c>
      <c r="S102" s="26"/>
      <c r="T102" s="120"/>
      <c r="U102" s="39">
        <f t="shared" ref="U102:U104" si="77">S102-T102</f>
        <v>0</v>
      </c>
      <c r="V102" s="26"/>
      <c r="W102" s="120"/>
      <c r="X102" s="39">
        <f t="shared" ref="X102:X104" si="78">V102-W102</f>
        <v>0</v>
      </c>
      <c r="Y102" s="26"/>
      <c r="Z102" s="118"/>
      <c r="AA102" s="39">
        <f t="shared" ref="AA102:AA104" si="79">Y102-Z102</f>
        <v>0</v>
      </c>
      <c r="AB102" s="50" t="e">
        <f t="shared" ref="AB102:AB151" si="80">AA102/E102</f>
        <v>#DIV/0!</v>
      </c>
    </row>
    <row r="103" spans="1:28" ht="25.5" x14ac:dyDescent="0.25">
      <c r="A103" s="24"/>
      <c r="B103" s="32" t="s">
        <v>131</v>
      </c>
      <c r="C103" s="26"/>
      <c r="D103" s="120"/>
      <c r="E103" s="39">
        <f t="shared" si="72"/>
        <v>0</v>
      </c>
      <c r="F103" s="26"/>
      <c r="G103" s="120"/>
      <c r="H103" s="39">
        <f t="shared" si="73"/>
        <v>0</v>
      </c>
      <c r="I103" s="26"/>
      <c r="J103" s="120"/>
      <c r="K103" s="39">
        <f t="shared" si="74"/>
        <v>0</v>
      </c>
      <c r="L103" s="26"/>
      <c r="M103" s="120"/>
      <c r="N103" s="39">
        <f t="shared" si="75"/>
        <v>0</v>
      </c>
      <c r="O103" s="26"/>
      <c r="P103" s="120"/>
      <c r="Q103" s="39">
        <f t="shared" si="76"/>
        <v>0</v>
      </c>
      <c r="R103" s="50" t="e">
        <f t="shared" si="58"/>
        <v>#DIV/0!</v>
      </c>
      <c r="S103" s="26"/>
      <c r="T103" s="120"/>
      <c r="U103" s="39">
        <f t="shared" si="77"/>
        <v>0</v>
      </c>
      <c r="V103" s="26"/>
      <c r="W103" s="120"/>
      <c r="X103" s="39">
        <f t="shared" si="78"/>
        <v>0</v>
      </c>
      <c r="Y103" s="26"/>
      <c r="Z103" s="118"/>
      <c r="AA103" s="39">
        <f t="shared" si="79"/>
        <v>0</v>
      </c>
      <c r="AB103" s="50" t="e">
        <f t="shared" si="80"/>
        <v>#DIV/0!</v>
      </c>
    </row>
    <row r="104" spans="1:28" ht="25.5" x14ac:dyDescent="0.25">
      <c r="A104" s="24"/>
      <c r="B104" s="32" t="s">
        <v>132</v>
      </c>
      <c r="C104" s="26">
        <f>3.651+376.70404+0.09443</f>
        <v>380.44947000000002</v>
      </c>
      <c r="D104" s="120"/>
      <c r="E104" s="39">
        <f t="shared" si="72"/>
        <v>380.44947000000002</v>
      </c>
      <c r="F104" s="26">
        <v>13.101000000000001</v>
      </c>
      <c r="G104" s="120"/>
      <c r="H104" s="39">
        <f t="shared" si="73"/>
        <v>13.101000000000001</v>
      </c>
      <c r="I104" s="26">
        <f>156.41638-F104</f>
        <v>143.31538</v>
      </c>
      <c r="J104" s="120"/>
      <c r="K104" s="39">
        <f t="shared" si="74"/>
        <v>143.31538</v>
      </c>
      <c r="L104" s="26">
        <v>578.29999999999995</v>
      </c>
      <c r="M104" s="120">
        <v>0</v>
      </c>
      <c r="N104" s="39">
        <f t="shared" si="75"/>
        <v>578.29999999999995</v>
      </c>
      <c r="O104" s="26">
        <f>0+4.999+573.1+5.2</f>
        <v>583.29900000000009</v>
      </c>
      <c r="P104" s="120"/>
      <c r="Q104" s="39">
        <f t="shared" si="76"/>
        <v>583.29900000000009</v>
      </c>
      <c r="R104" s="50">
        <f t="shared" si="58"/>
        <v>1.5331838943027047</v>
      </c>
      <c r="S104" s="26">
        <f>0+4.999+19.26+1.129</f>
        <v>25.388000000000002</v>
      </c>
      <c r="T104" s="120"/>
      <c r="U104" s="39">
        <f t="shared" si="77"/>
        <v>25.388000000000002</v>
      </c>
      <c r="V104" s="26">
        <v>100</v>
      </c>
      <c r="W104" s="120"/>
      <c r="X104" s="39">
        <f t="shared" si="78"/>
        <v>100</v>
      </c>
      <c r="Y104" s="26">
        <f t="shared" si="61"/>
        <v>583.29900000000009</v>
      </c>
      <c r="Z104" s="118">
        <f t="shared" si="62"/>
        <v>0</v>
      </c>
      <c r="AA104" s="39">
        <f t="shared" si="79"/>
        <v>583.29900000000009</v>
      </c>
      <c r="AB104" s="50">
        <f t="shared" si="80"/>
        <v>1.5331838943027047</v>
      </c>
    </row>
    <row r="105" spans="1:28" x14ac:dyDescent="0.25">
      <c r="A105" s="66"/>
      <c r="B105" s="12" t="s">
        <v>133</v>
      </c>
      <c r="C105" s="67">
        <f>C52</f>
        <v>3747292.3447799999</v>
      </c>
      <c r="D105" s="67">
        <f t="shared" ref="D105" si="81">D52</f>
        <v>2187765.0036299997</v>
      </c>
      <c r="E105" s="13">
        <f t="shared" si="72"/>
        <v>1559527.3411500002</v>
      </c>
      <c r="F105" s="67">
        <f>F52</f>
        <v>575204.65350999997</v>
      </c>
      <c r="G105" s="67">
        <f t="shared" ref="G105" si="82">G52</f>
        <v>343180.60852000001</v>
      </c>
      <c r="H105" s="13">
        <f t="shared" si="31"/>
        <v>232024.04498999997</v>
      </c>
      <c r="I105" s="67">
        <f>I52</f>
        <v>315367.34922000009</v>
      </c>
      <c r="J105" s="67">
        <f t="shared" ref="J105" si="83">J52</f>
        <v>154683.09008000002</v>
      </c>
      <c r="K105" s="13">
        <f t="shared" si="32"/>
        <v>160684.25914000007</v>
      </c>
      <c r="L105" s="67">
        <f>L52</f>
        <v>4109661.7451999998</v>
      </c>
      <c r="M105" s="67">
        <f t="shared" ref="M105" si="84">M52</f>
        <v>2473144.59968</v>
      </c>
      <c r="N105" s="13">
        <f t="shared" si="33"/>
        <v>1636517.1455199998</v>
      </c>
      <c r="O105" s="67">
        <f>O52</f>
        <v>4225670.92777</v>
      </c>
      <c r="P105" s="67">
        <f t="shared" ref="P105" si="85">P52</f>
        <v>2589153.7822500002</v>
      </c>
      <c r="Q105" s="13">
        <f t="shared" si="34"/>
        <v>1636517.1455199998</v>
      </c>
      <c r="R105" s="14">
        <f>Q105/E105</f>
        <v>1.0493673963505039</v>
      </c>
      <c r="S105" s="67">
        <f>S52</f>
        <v>623625.91636000003</v>
      </c>
      <c r="T105" s="67">
        <f t="shared" ref="T105" si="86">T52</f>
        <v>299167.29453000001</v>
      </c>
      <c r="U105" s="13">
        <f t="shared" si="35"/>
        <v>324458.62183000002</v>
      </c>
      <c r="V105" s="67">
        <f>V52</f>
        <v>316436.36</v>
      </c>
      <c r="W105" s="67">
        <f t="shared" ref="W105" si="87">W52</f>
        <v>224337.391</v>
      </c>
      <c r="X105" s="13">
        <f t="shared" si="36"/>
        <v>92098.968999999983</v>
      </c>
      <c r="Y105" s="67">
        <f>Y52</f>
        <v>4256722.6793799996</v>
      </c>
      <c r="Z105" s="67">
        <f t="shared" ref="Z105" si="88">Z52</f>
        <v>2589408.85983</v>
      </c>
      <c r="AA105" s="13">
        <f t="shared" si="37"/>
        <v>1667313.8195499997</v>
      </c>
      <c r="AB105" s="14">
        <f t="shared" si="80"/>
        <v>1.0691148372689108</v>
      </c>
    </row>
    <row r="106" spans="1:28" x14ac:dyDescent="0.25">
      <c r="A106" s="40"/>
      <c r="B106" s="68" t="s">
        <v>134</v>
      </c>
      <c r="C106" s="69">
        <f t="shared" ref="C106:I106" si="89">C51-C52</f>
        <v>92991.537650000304</v>
      </c>
      <c r="D106" s="69">
        <f t="shared" si="89"/>
        <v>120776.68488000007</v>
      </c>
      <c r="E106" s="69">
        <f t="shared" si="89"/>
        <v>-27785.147229999769</v>
      </c>
      <c r="F106" s="69">
        <f t="shared" si="89"/>
        <v>12480.525930000003</v>
      </c>
      <c r="G106" s="69">
        <f t="shared" si="89"/>
        <v>10640.026750000019</v>
      </c>
      <c r="H106" s="69">
        <f t="shared" si="89"/>
        <v>1840.4991799999843</v>
      </c>
      <c r="I106" s="69">
        <f t="shared" si="89"/>
        <v>111037.62430999987</v>
      </c>
      <c r="J106" s="69">
        <f>J51-J52</f>
        <v>173347.69758999997</v>
      </c>
      <c r="K106" s="69">
        <f>I106-J106</f>
        <v>-62310.073280000099</v>
      </c>
      <c r="L106" s="69">
        <f>L51-L52</f>
        <v>-115200.01751999976</v>
      </c>
      <c r="M106" s="69">
        <f>M51-M52</f>
        <v>0</v>
      </c>
      <c r="N106" s="69">
        <f>N51-N52</f>
        <v>-115200.01751999976</v>
      </c>
      <c r="O106" s="69">
        <f>O51-O52</f>
        <v>-231209.20008999994</v>
      </c>
      <c r="P106" s="69">
        <f t="shared" ref="P106:Q106" si="90">P51-P52</f>
        <v>-116009.18257000018</v>
      </c>
      <c r="Q106" s="69">
        <f t="shared" si="90"/>
        <v>-115200.01751999976</v>
      </c>
      <c r="R106" s="69"/>
      <c r="S106" s="69">
        <f t="shared" ref="S106:Z106" si="91">S51-S52</f>
        <v>-35468.244700000039</v>
      </c>
      <c r="T106" s="69">
        <f t="shared" si="91"/>
        <v>-442.08896999998251</v>
      </c>
      <c r="U106" s="69">
        <f>S106-T106</f>
        <v>-35026.155730000057</v>
      </c>
      <c r="V106" s="69">
        <f t="shared" si="91"/>
        <v>3591.7710700000171</v>
      </c>
      <c r="W106" s="69">
        <f t="shared" si="91"/>
        <v>-337.23100000002887</v>
      </c>
      <c r="X106" s="69">
        <f>V106-W106</f>
        <v>3929.0020700000459</v>
      </c>
      <c r="Y106" s="69">
        <f t="shared" si="91"/>
        <v>-363471.55397899961</v>
      </c>
      <c r="Z106" s="69">
        <f t="shared" si="91"/>
        <v>-123221.61898999987</v>
      </c>
      <c r="AA106" s="69">
        <f>Y106-Z106</f>
        <v>-240249.93498899974</v>
      </c>
      <c r="AB106" s="19"/>
    </row>
    <row r="107" spans="1:28" s="105" customFormat="1" ht="22.5" x14ac:dyDescent="0.25">
      <c r="A107" s="110"/>
      <c r="B107" s="111" t="s">
        <v>135</v>
      </c>
      <c r="C107" s="70">
        <v>92991.537649999998</v>
      </c>
      <c r="D107" s="70">
        <v>120776.68488</v>
      </c>
      <c r="E107" s="70"/>
      <c r="F107" s="70">
        <f>12480.52593</f>
        <v>12480.52593</v>
      </c>
      <c r="G107" s="70">
        <f>10640.02675</f>
        <v>10640.026750000001</v>
      </c>
      <c r="H107" s="70"/>
      <c r="I107" s="70">
        <f>123293.68362-F107</f>
        <v>110813.15768999999</v>
      </c>
      <c r="J107" s="70">
        <f>185183.32424-G107</f>
        <v>174543.29749</v>
      </c>
      <c r="K107" s="70"/>
      <c r="L107" s="71"/>
      <c r="M107" s="71"/>
      <c r="N107" s="71"/>
      <c r="O107" s="72">
        <v>-115200.01751999999</v>
      </c>
      <c r="P107" s="121">
        <v>-116009.18257</v>
      </c>
      <c r="Q107" s="72">
        <f>O107+P107</f>
        <v>-231209.20009</v>
      </c>
      <c r="R107" s="73"/>
      <c r="S107" s="70">
        <v>-35468.244700000003</v>
      </c>
      <c r="T107" s="70">
        <v>-442.08897000000002</v>
      </c>
      <c r="U107" s="70">
        <f>S107-T107</f>
        <v>-35026.155730000006</v>
      </c>
      <c r="V107" s="70"/>
      <c r="W107" s="70"/>
      <c r="X107" s="70"/>
      <c r="Y107" s="70"/>
      <c r="Z107" s="70"/>
      <c r="AA107" s="70"/>
      <c r="AB107" s="73"/>
    </row>
    <row r="108" spans="1:28" ht="26.25" x14ac:dyDescent="0.25">
      <c r="A108" s="15" t="s">
        <v>136</v>
      </c>
      <c r="B108" s="74" t="s">
        <v>137</v>
      </c>
      <c r="C108" s="49">
        <f>C110+C111+C116+C119</f>
        <v>-92991.537650000304</v>
      </c>
      <c r="D108" s="49" t="s">
        <v>138</v>
      </c>
      <c r="E108" s="69" t="s">
        <v>138</v>
      </c>
      <c r="F108" s="49">
        <f>F110+F111+F116+F119</f>
        <v>-12480.525930000003</v>
      </c>
      <c r="G108" s="49" t="s">
        <v>138</v>
      </c>
      <c r="H108" s="49" t="s">
        <v>138</v>
      </c>
      <c r="I108" s="49">
        <f>I110+I111+I116+I119</f>
        <v>-111037.62430999987</v>
      </c>
      <c r="J108" s="49" t="s">
        <v>138</v>
      </c>
      <c r="K108" s="49" t="s">
        <v>138</v>
      </c>
      <c r="L108" s="122">
        <f>L110+L111+L116+L119</f>
        <v>115200.01751999976</v>
      </c>
      <c r="M108" s="49" t="s">
        <v>138</v>
      </c>
      <c r="N108" s="49" t="s">
        <v>138</v>
      </c>
      <c r="O108" s="122">
        <f>O110+O111+O116+O119</f>
        <v>231209.20008999994</v>
      </c>
      <c r="P108" s="49" t="s">
        <v>138</v>
      </c>
      <c r="Q108" s="49" t="s">
        <v>138</v>
      </c>
      <c r="R108" s="19"/>
      <c r="S108" s="49">
        <f>S110+S111+S116+S119</f>
        <v>35468.244700000039</v>
      </c>
      <c r="T108" s="49" t="s">
        <v>138</v>
      </c>
      <c r="U108" s="49" t="s">
        <v>138</v>
      </c>
      <c r="V108" s="49">
        <f>V110+V111+V116+V119</f>
        <v>-3591.7710700000171</v>
      </c>
      <c r="W108" s="123" t="s">
        <v>138</v>
      </c>
      <c r="X108" s="123" t="s">
        <v>138</v>
      </c>
      <c r="Y108" s="49">
        <f>Y110+Y111+Y116+Y119</f>
        <v>363471.55397899961</v>
      </c>
      <c r="Z108" s="49" t="s">
        <v>138</v>
      </c>
      <c r="AA108" s="49" t="s">
        <v>138</v>
      </c>
      <c r="AB108" s="19"/>
    </row>
    <row r="109" spans="1:28" x14ac:dyDescent="0.25">
      <c r="A109" s="15"/>
      <c r="B109" s="25" t="s">
        <v>17</v>
      </c>
      <c r="C109" s="49"/>
      <c r="D109" s="49"/>
      <c r="E109" s="69"/>
      <c r="F109" s="49"/>
      <c r="G109" s="49"/>
      <c r="H109" s="49"/>
      <c r="I109" s="49"/>
      <c r="J109" s="49"/>
      <c r="K109" s="49"/>
      <c r="L109" s="116"/>
      <c r="M109" s="49"/>
      <c r="N109" s="49"/>
      <c r="O109" s="116"/>
      <c r="P109" s="49"/>
      <c r="Q109" s="49"/>
      <c r="R109" s="19"/>
      <c r="S109" s="116"/>
      <c r="T109" s="49"/>
      <c r="U109" s="49"/>
      <c r="V109" s="116"/>
      <c r="W109" s="116"/>
      <c r="X109" s="116"/>
      <c r="Y109" s="116"/>
      <c r="Z109" s="49"/>
      <c r="AA109" s="49"/>
      <c r="AB109" s="19"/>
    </row>
    <row r="110" spans="1:28" x14ac:dyDescent="0.25">
      <c r="A110" s="15" t="s">
        <v>139</v>
      </c>
      <c r="B110" s="74" t="s">
        <v>140</v>
      </c>
      <c r="C110" s="49">
        <f>C105-C51-C116-C111-C119</f>
        <v>247671.6720499997</v>
      </c>
      <c r="D110" s="49" t="s">
        <v>138</v>
      </c>
      <c r="E110" s="69" t="s">
        <v>138</v>
      </c>
      <c r="F110" s="49">
        <f>F105-F51-F116-F111-F119</f>
        <v>6349.0269199999966</v>
      </c>
      <c r="G110" s="49" t="s">
        <v>138</v>
      </c>
      <c r="H110" s="49" t="s">
        <v>138</v>
      </c>
      <c r="I110" s="49">
        <f>I105-I51-I116-I111-I119</f>
        <v>-133474.74605999986</v>
      </c>
      <c r="J110" s="49" t="s">
        <v>138</v>
      </c>
      <c r="K110" s="49" t="s">
        <v>138</v>
      </c>
      <c r="L110" s="122">
        <f>L105-L51-L116-L111-L119</f>
        <v>-2.3283064365386963E-10</v>
      </c>
      <c r="M110" s="122" t="s">
        <v>138</v>
      </c>
      <c r="N110" s="122" t="s">
        <v>138</v>
      </c>
      <c r="O110" s="122">
        <f>O105-O51-O116-O111-O119</f>
        <v>116009.18256999995</v>
      </c>
      <c r="P110" s="49" t="s">
        <v>138</v>
      </c>
      <c r="Q110" s="49" t="s">
        <v>138</v>
      </c>
      <c r="R110" s="19"/>
      <c r="S110" s="49">
        <f>S105-S51-S116-S111-S119</f>
        <v>33714.650100000043</v>
      </c>
      <c r="T110" s="49" t="s">
        <v>138</v>
      </c>
      <c r="U110" s="49" t="s">
        <v>138</v>
      </c>
      <c r="V110" s="49">
        <f>V105-V51-V116-V111-V119</f>
        <v>-13047.771070000017</v>
      </c>
      <c r="W110" s="49" t="s">
        <v>138</v>
      </c>
      <c r="X110" s="49" t="s">
        <v>138</v>
      </c>
      <c r="Y110" s="49">
        <f>Y105-Y51-Y116-Y111-Y119</f>
        <v>-10782.463541000383</v>
      </c>
      <c r="Z110" s="49" t="s">
        <v>138</v>
      </c>
      <c r="AA110" s="49" t="s">
        <v>138</v>
      </c>
      <c r="AB110" s="19"/>
    </row>
    <row r="111" spans="1:28" ht="26.25" x14ac:dyDescent="0.25">
      <c r="A111" s="15" t="s">
        <v>141</v>
      </c>
      <c r="B111" s="74" t="s">
        <v>142</v>
      </c>
      <c r="C111" s="49">
        <f>C112+C113+C114+C115</f>
        <v>-10790</v>
      </c>
      <c r="D111" s="49" t="s">
        <v>138</v>
      </c>
      <c r="E111" s="69" t="s">
        <v>138</v>
      </c>
      <c r="F111" s="49">
        <f>F112+F113+F114+F115</f>
        <v>0</v>
      </c>
      <c r="G111" s="49" t="s">
        <v>138</v>
      </c>
      <c r="H111" s="49" t="s">
        <v>138</v>
      </c>
      <c r="I111" s="49">
        <f>I112+I113+I114+I115</f>
        <v>-10790</v>
      </c>
      <c r="J111" s="49" t="s">
        <v>138</v>
      </c>
      <c r="K111" s="49" t="s">
        <v>138</v>
      </c>
      <c r="L111" s="49">
        <f>L112+L113+L114+L115</f>
        <v>-10790</v>
      </c>
      <c r="M111" s="49" t="s">
        <v>138</v>
      </c>
      <c r="N111" s="49" t="s">
        <v>138</v>
      </c>
      <c r="O111" s="49">
        <f>O112+O113+O114+O115</f>
        <v>-10790</v>
      </c>
      <c r="P111" s="49" t="s">
        <v>138</v>
      </c>
      <c r="Q111" s="49" t="s">
        <v>138</v>
      </c>
      <c r="R111" s="19"/>
      <c r="S111" s="49">
        <f>S112+S113+S114+S115</f>
        <v>0</v>
      </c>
      <c r="T111" s="49" t="s">
        <v>138</v>
      </c>
      <c r="U111" s="49" t="s">
        <v>138</v>
      </c>
      <c r="V111" s="49">
        <f>V112+V113+V114+V115</f>
        <v>0</v>
      </c>
      <c r="W111" s="49" t="s">
        <v>138</v>
      </c>
      <c r="X111" s="49" t="s">
        <v>138</v>
      </c>
      <c r="Y111" s="49">
        <f>Y112+Y113+Y114+Y115</f>
        <v>-10790</v>
      </c>
      <c r="Z111" s="49" t="s">
        <v>138</v>
      </c>
      <c r="AA111" s="49" t="s">
        <v>138</v>
      </c>
      <c r="AB111" s="19"/>
    </row>
    <row r="112" spans="1:28" x14ac:dyDescent="0.25">
      <c r="A112" s="15"/>
      <c r="B112" s="25" t="s">
        <v>143</v>
      </c>
      <c r="C112" s="118">
        <v>0</v>
      </c>
      <c r="D112" s="49" t="s">
        <v>138</v>
      </c>
      <c r="E112" s="69" t="s">
        <v>138</v>
      </c>
      <c r="F112" s="118"/>
      <c r="G112" s="49" t="s">
        <v>138</v>
      </c>
      <c r="H112" s="49" t="s">
        <v>138</v>
      </c>
      <c r="I112" s="118"/>
      <c r="J112" s="49" t="s">
        <v>138</v>
      </c>
      <c r="K112" s="49" t="s">
        <v>138</v>
      </c>
      <c r="L112" s="118"/>
      <c r="M112" s="49" t="s">
        <v>138</v>
      </c>
      <c r="N112" s="49" t="s">
        <v>138</v>
      </c>
      <c r="O112" s="118"/>
      <c r="P112" s="49" t="s">
        <v>138</v>
      </c>
      <c r="Q112" s="49" t="s">
        <v>138</v>
      </c>
      <c r="R112" s="19"/>
      <c r="S112" s="118"/>
      <c r="T112" s="49" t="s">
        <v>138</v>
      </c>
      <c r="U112" s="49" t="s">
        <v>138</v>
      </c>
      <c r="V112" s="118"/>
      <c r="W112" s="49" t="s">
        <v>138</v>
      </c>
      <c r="X112" s="49" t="s">
        <v>138</v>
      </c>
      <c r="Y112" s="118"/>
      <c r="Z112" s="49" t="s">
        <v>138</v>
      </c>
      <c r="AA112" s="49" t="s">
        <v>138</v>
      </c>
      <c r="AB112" s="19"/>
    </row>
    <row r="113" spans="1:28" ht="26.25" x14ac:dyDescent="0.25">
      <c r="A113" s="15"/>
      <c r="B113" s="25" t="s">
        <v>144</v>
      </c>
      <c r="C113" s="118">
        <v>0</v>
      </c>
      <c r="D113" s="49" t="s">
        <v>138</v>
      </c>
      <c r="E113" s="69" t="s">
        <v>138</v>
      </c>
      <c r="F113" s="118"/>
      <c r="G113" s="49" t="s">
        <v>138</v>
      </c>
      <c r="H113" s="49" t="s">
        <v>138</v>
      </c>
      <c r="I113" s="118"/>
      <c r="J113" s="49" t="s">
        <v>138</v>
      </c>
      <c r="K113" s="49" t="s">
        <v>138</v>
      </c>
      <c r="L113" s="118"/>
      <c r="M113" s="49" t="s">
        <v>138</v>
      </c>
      <c r="N113" s="49" t="s">
        <v>138</v>
      </c>
      <c r="O113" s="118"/>
      <c r="P113" s="49" t="s">
        <v>138</v>
      </c>
      <c r="Q113" s="49" t="s">
        <v>138</v>
      </c>
      <c r="R113" s="19"/>
      <c r="S113" s="118"/>
      <c r="T113" s="49" t="s">
        <v>138</v>
      </c>
      <c r="U113" s="49" t="s">
        <v>138</v>
      </c>
      <c r="V113" s="118"/>
      <c r="W113" s="49" t="s">
        <v>138</v>
      </c>
      <c r="X113" s="49" t="s">
        <v>138</v>
      </c>
      <c r="Y113" s="118"/>
      <c r="Z113" s="49" t="s">
        <v>138</v>
      </c>
      <c r="AA113" s="49" t="s">
        <v>138</v>
      </c>
      <c r="AB113" s="19"/>
    </row>
    <row r="114" spans="1:28" x14ac:dyDescent="0.25">
      <c r="A114" s="15"/>
      <c r="B114" s="25" t="s">
        <v>145</v>
      </c>
      <c r="C114" s="118">
        <v>-10790</v>
      </c>
      <c r="D114" s="49" t="s">
        <v>138</v>
      </c>
      <c r="E114" s="69" t="s">
        <v>138</v>
      </c>
      <c r="F114" s="118">
        <f>0</f>
        <v>0</v>
      </c>
      <c r="G114" s="49" t="s">
        <v>138</v>
      </c>
      <c r="H114" s="49" t="s">
        <v>138</v>
      </c>
      <c r="I114" s="118">
        <f>-10790-F114</f>
        <v>-10790</v>
      </c>
      <c r="J114" s="49" t="s">
        <v>138</v>
      </c>
      <c r="K114" s="49" t="s">
        <v>138</v>
      </c>
      <c r="L114" s="118">
        <v>-10790</v>
      </c>
      <c r="M114" s="49" t="s">
        <v>138</v>
      </c>
      <c r="N114" s="49" t="s">
        <v>138</v>
      </c>
      <c r="O114" s="118">
        <f>L114</f>
        <v>-10790</v>
      </c>
      <c r="P114" s="49" t="s">
        <v>138</v>
      </c>
      <c r="Q114" s="49" t="s">
        <v>138</v>
      </c>
      <c r="R114" s="19"/>
      <c r="S114" s="118">
        <v>0</v>
      </c>
      <c r="T114" s="49" t="s">
        <v>138</v>
      </c>
      <c r="U114" s="49" t="s">
        <v>138</v>
      </c>
      <c r="V114" s="118">
        <v>0</v>
      </c>
      <c r="W114" s="49" t="s">
        <v>138</v>
      </c>
      <c r="X114" s="49" t="s">
        <v>138</v>
      </c>
      <c r="Y114" s="118">
        <v>-10790</v>
      </c>
      <c r="Z114" s="49" t="s">
        <v>138</v>
      </c>
      <c r="AA114" s="49" t="s">
        <v>138</v>
      </c>
      <c r="AB114" s="19"/>
    </row>
    <row r="115" spans="1:28" ht="26.25" x14ac:dyDescent="0.25">
      <c r="A115" s="15"/>
      <c r="B115" s="25" t="s">
        <v>146</v>
      </c>
      <c r="C115" s="118">
        <v>0</v>
      </c>
      <c r="D115" s="49" t="s">
        <v>138</v>
      </c>
      <c r="E115" s="69" t="s">
        <v>138</v>
      </c>
      <c r="F115" s="118"/>
      <c r="G115" s="49" t="s">
        <v>138</v>
      </c>
      <c r="H115" s="49" t="s">
        <v>138</v>
      </c>
      <c r="I115" s="118"/>
      <c r="J115" s="49" t="s">
        <v>138</v>
      </c>
      <c r="K115" s="49" t="s">
        <v>138</v>
      </c>
      <c r="L115" s="118"/>
      <c r="M115" s="49" t="s">
        <v>138</v>
      </c>
      <c r="N115" s="49" t="s">
        <v>138</v>
      </c>
      <c r="O115" s="118"/>
      <c r="P115" s="49" t="s">
        <v>138</v>
      </c>
      <c r="Q115" s="49" t="s">
        <v>138</v>
      </c>
      <c r="R115" s="19"/>
      <c r="S115" s="118"/>
      <c r="T115" s="49" t="s">
        <v>138</v>
      </c>
      <c r="U115" s="49" t="s">
        <v>138</v>
      </c>
      <c r="V115" s="118"/>
      <c r="W115" s="49" t="s">
        <v>138</v>
      </c>
      <c r="X115" s="49" t="s">
        <v>138</v>
      </c>
      <c r="Y115" s="118"/>
      <c r="Z115" s="49" t="s">
        <v>138</v>
      </c>
      <c r="AA115" s="49" t="s">
        <v>138</v>
      </c>
      <c r="AB115" s="19"/>
    </row>
    <row r="116" spans="1:28" x14ac:dyDescent="0.25">
      <c r="A116" s="15" t="s">
        <v>147</v>
      </c>
      <c r="B116" s="74" t="s">
        <v>148</v>
      </c>
      <c r="C116" s="49">
        <f>C117+C118</f>
        <v>0</v>
      </c>
      <c r="D116" s="49" t="s">
        <v>138</v>
      </c>
      <c r="E116" s="69" t="s">
        <v>138</v>
      </c>
      <c r="F116" s="49">
        <f t="shared" ref="F116" si="92">F117+F118</f>
        <v>0</v>
      </c>
      <c r="G116" s="49" t="s">
        <v>138</v>
      </c>
      <c r="H116" s="49" t="s">
        <v>138</v>
      </c>
      <c r="I116" s="49">
        <f t="shared" ref="I116" si="93">I117+I118</f>
        <v>0</v>
      </c>
      <c r="J116" s="49" t="s">
        <v>138</v>
      </c>
      <c r="K116" s="49" t="s">
        <v>138</v>
      </c>
      <c r="L116" s="49">
        <f t="shared" ref="L116" si="94">L117+L118</f>
        <v>125990.01751999999</v>
      </c>
      <c r="M116" s="49" t="s">
        <v>138</v>
      </c>
      <c r="N116" s="49" t="s">
        <v>138</v>
      </c>
      <c r="O116" s="49">
        <f t="shared" ref="O116" si="95">O117+O118</f>
        <v>125990.01751999999</v>
      </c>
      <c r="P116" s="49" t="s">
        <v>138</v>
      </c>
      <c r="Q116" s="49" t="s">
        <v>138</v>
      </c>
      <c r="R116" s="19"/>
      <c r="S116" s="49">
        <f t="shared" ref="S116" si="96">S117+S118</f>
        <v>0</v>
      </c>
      <c r="T116" s="49" t="s">
        <v>138</v>
      </c>
      <c r="U116" s="49" t="s">
        <v>138</v>
      </c>
      <c r="V116" s="49">
        <f t="shared" ref="V116" si="97">V117+V118</f>
        <v>0</v>
      </c>
      <c r="W116" s="49" t="s">
        <v>138</v>
      </c>
      <c r="X116" s="49" t="s">
        <v>138</v>
      </c>
      <c r="Y116" s="49">
        <f t="shared" ref="Y116" si="98">Y117+Y118</f>
        <v>125990.01751999999</v>
      </c>
      <c r="Z116" s="49" t="s">
        <v>138</v>
      </c>
      <c r="AA116" s="49" t="s">
        <v>138</v>
      </c>
      <c r="AB116" s="19"/>
    </row>
    <row r="117" spans="1:28" x14ac:dyDescent="0.25">
      <c r="A117" s="24"/>
      <c r="B117" s="25" t="s">
        <v>149</v>
      </c>
      <c r="C117" s="118"/>
      <c r="D117" s="49" t="s">
        <v>138</v>
      </c>
      <c r="E117" s="69" t="s">
        <v>138</v>
      </c>
      <c r="F117" s="118"/>
      <c r="G117" s="49" t="s">
        <v>138</v>
      </c>
      <c r="H117" s="49" t="s">
        <v>138</v>
      </c>
      <c r="I117" s="118"/>
      <c r="J117" s="49" t="s">
        <v>138</v>
      </c>
      <c r="K117" s="49" t="s">
        <v>138</v>
      </c>
      <c r="L117" s="118">
        <v>125990.01751999999</v>
      </c>
      <c r="M117" s="49" t="s">
        <v>138</v>
      </c>
      <c r="N117" s="49" t="s">
        <v>138</v>
      </c>
      <c r="O117" s="118">
        <f>L117</f>
        <v>125990.01751999999</v>
      </c>
      <c r="P117" s="49" t="s">
        <v>138</v>
      </c>
      <c r="Q117" s="49" t="s">
        <v>138</v>
      </c>
      <c r="R117" s="19"/>
      <c r="S117" s="118">
        <v>0</v>
      </c>
      <c r="T117" s="49" t="s">
        <v>138</v>
      </c>
      <c r="U117" s="49" t="s">
        <v>138</v>
      </c>
      <c r="V117" s="118">
        <v>0</v>
      </c>
      <c r="W117" s="49" t="s">
        <v>138</v>
      </c>
      <c r="X117" s="49" t="s">
        <v>138</v>
      </c>
      <c r="Y117" s="118">
        <f>O117</f>
        <v>125990.01751999999</v>
      </c>
      <c r="Z117" s="49" t="s">
        <v>138</v>
      </c>
      <c r="AA117" s="49" t="s">
        <v>138</v>
      </c>
      <c r="AB117" s="19"/>
    </row>
    <row r="118" spans="1:28" x14ac:dyDescent="0.25">
      <c r="A118" s="15"/>
      <c r="B118" s="25" t="s">
        <v>145</v>
      </c>
      <c r="C118" s="122"/>
      <c r="D118" s="49" t="s">
        <v>138</v>
      </c>
      <c r="E118" s="69" t="s">
        <v>138</v>
      </c>
      <c r="F118" s="122"/>
      <c r="G118" s="49" t="s">
        <v>138</v>
      </c>
      <c r="H118" s="49" t="s">
        <v>138</v>
      </c>
      <c r="I118" s="122"/>
      <c r="J118" s="49" t="s">
        <v>138</v>
      </c>
      <c r="K118" s="49" t="s">
        <v>138</v>
      </c>
      <c r="L118" s="122"/>
      <c r="M118" s="49" t="s">
        <v>138</v>
      </c>
      <c r="N118" s="49" t="s">
        <v>138</v>
      </c>
      <c r="O118" s="122"/>
      <c r="P118" s="49" t="s">
        <v>138</v>
      </c>
      <c r="Q118" s="49" t="s">
        <v>138</v>
      </c>
      <c r="R118" s="19"/>
      <c r="S118" s="122"/>
      <c r="T118" s="49" t="s">
        <v>138</v>
      </c>
      <c r="U118" s="49" t="s">
        <v>138</v>
      </c>
      <c r="V118" s="122"/>
      <c r="W118" s="49" t="s">
        <v>138</v>
      </c>
      <c r="X118" s="49" t="s">
        <v>138</v>
      </c>
      <c r="Y118" s="122"/>
      <c r="Z118" s="49" t="s">
        <v>138</v>
      </c>
      <c r="AA118" s="49" t="s">
        <v>138</v>
      </c>
      <c r="AB118" s="19"/>
    </row>
    <row r="119" spans="1:28" ht="26.25" x14ac:dyDescent="0.25">
      <c r="A119" s="15" t="s">
        <v>150</v>
      </c>
      <c r="B119" s="74" t="s">
        <v>151</v>
      </c>
      <c r="C119" s="122">
        <f>C121</f>
        <v>-329873.20970000001</v>
      </c>
      <c r="D119" s="49" t="s">
        <v>138</v>
      </c>
      <c r="E119" s="69" t="s">
        <v>138</v>
      </c>
      <c r="F119" s="122">
        <f>F121</f>
        <v>-18829.55285</v>
      </c>
      <c r="G119" s="49" t="s">
        <v>138</v>
      </c>
      <c r="H119" s="49" t="s">
        <v>138</v>
      </c>
      <c r="I119" s="122">
        <f>I121</f>
        <v>33227.121749999998</v>
      </c>
      <c r="J119" s="49" t="s">
        <v>138</v>
      </c>
      <c r="K119" s="49" t="s">
        <v>138</v>
      </c>
      <c r="L119" s="122">
        <f>L121</f>
        <v>0</v>
      </c>
      <c r="M119" s="49" t="s">
        <v>138</v>
      </c>
      <c r="N119" s="49" t="s">
        <v>138</v>
      </c>
      <c r="O119" s="122">
        <f>O121</f>
        <v>0</v>
      </c>
      <c r="P119" s="49" t="s">
        <v>138</v>
      </c>
      <c r="Q119" s="49" t="s">
        <v>138</v>
      </c>
      <c r="R119" s="19"/>
      <c r="S119" s="122">
        <f>S121</f>
        <v>1753.5945999999999</v>
      </c>
      <c r="T119" s="49" t="s">
        <v>138</v>
      </c>
      <c r="U119" s="49" t="s">
        <v>138</v>
      </c>
      <c r="V119" s="122">
        <f>V121</f>
        <v>9456</v>
      </c>
      <c r="W119" s="49" t="s">
        <v>138</v>
      </c>
      <c r="X119" s="49" t="s">
        <v>138</v>
      </c>
      <c r="Y119" s="122">
        <f>Y121</f>
        <v>259054</v>
      </c>
      <c r="Z119" s="49" t="s">
        <v>138</v>
      </c>
      <c r="AA119" s="49" t="s">
        <v>138</v>
      </c>
      <c r="AB119" s="19"/>
    </row>
    <row r="120" spans="1:28" x14ac:dyDescent="0.25">
      <c r="A120" s="15"/>
      <c r="B120" s="25" t="s">
        <v>17</v>
      </c>
      <c r="C120" s="122"/>
      <c r="D120" s="49"/>
      <c r="E120" s="69"/>
      <c r="F120" s="122"/>
      <c r="G120" s="49"/>
      <c r="H120" s="49"/>
      <c r="I120" s="122"/>
      <c r="J120" s="49"/>
      <c r="K120" s="49"/>
      <c r="L120" s="122"/>
      <c r="M120" s="49"/>
      <c r="N120" s="49"/>
      <c r="O120" s="122"/>
      <c r="P120" s="49"/>
      <c r="Q120" s="49"/>
      <c r="R120" s="19"/>
      <c r="S120" s="122"/>
      <c r="T120" s="49"/>
      <c r="U120" s="49"/>
      <c r="V120" s="122"/>
      <c r="W120" s="49"/>
      <c r="X120" s="49"/>
      <c r="Y120" s="122"/>
      <c r="Z120" s="49"/>
      <c r="AA120" s="49"/>
      <c r="AB120" s="19"/>
    </row>
    <row r="121" spans="1:28" ht="51" x14ac:dyDescent="0.25">
      <c r="A121" s="15"/>
      <c r="B121" s="75" t="s">
        <v>152</v>
      </c>
      <c r="C121" s="122">
        <v>-329873.20970000001</v>
      </c>
      <c r="D121" s="49" t="s">
        <v>138</v>
      </c>
      <c r="E121" s="69" t="s">
        <v>138</v>
      </c>
      <c r="F121" s="122">
        <f>-18829.55285</f>
        <v>-18829.55285</v>
      </c>
      <c r="G121" s="49" t="s">
        <v>138</v>
      </c>
      <c r="H121" s="49" t="s">
        <v>138</v>
      </c>
      <c r="I121" s="122">
        <f>14397.5689-F121</f>
        <v>33227.121749999998</v>
      </c>
      <c r="J121" s="49" t="s">
        <v>138</v>
      </c>
      <c r="K121" s="49" t="s">
        <v>138</v>
      </c>
      <c r="L121" s="122">
        <v>0</v>
      </c>
      <c r="M121" s="49" t="s">
        <v>138</v>
      </c>
      <c r="N121" s="49" t="s">
        <v>138</v>
      </c>
      <c r="O121" s="122"/>
      <c r="P121" s="49" t="s">
        <v>138</v>
      </c>
      <c r="Q121" s="49" t="s">
        <v>138</v>
      </c>
      <c r="R121" s="19"/>
      <c r="S121" s="122">
        <v>1753.5945999999999</v>
      </c>
      <c r="T121" s="49" t="s">
        <v>138</v>
      </c>
      <c r="U121" s="49" t="s">
        <v>138</v>
      </c>
      <c r="V121" s="122">
        <v>9456</v>
      </c>
      <c r="W121" s="49" t="s">
        <v>138</v>
      </c>
      <c r="X121" s="49" t="s">
        <v>138</v>
      </c>
      <c r="Y121" s="122">
        <v>259054</v>
      </c>
      <c r="Z121" s="49" t="s">
        <v>138</v>
      </c>
      <c r="AA121" s="49" t="s">
        <v>138</v>
      </c>
      <c r="AB121" s="19"/>
    </row>
    <row r="122" spans="1:28" ht="25.5" x14ac:dyDescent="0.25">
      <c r="A122" s="15"/>
      <c r="B122" s="32" t="s">
        <v>153</v>
      </c>
      <c r="C122" s="122"/>
      <c r="D122" s="49" t="s">
        <v>138</v>
      </c>
      <c r="E122" s="69" t="s">
        <v>138</v>
      </c>
      <c r="F122" s="122"/>
      <c r="G122" s="49" t="s">
        <v>138</v>
      </c>
      <c r="H122" s="49" t="s">
        <v>138</v>
      </c>
      <c r="I122" s="122"/>
      <c r="J122" s="49" t="s">
        <v>138</v>
      </c>
      <c r="K122" s="49" t="s">
        <v>138</v>
      </c>
      <c r="L122" s="122"/>
      <c r="M122" s="49" t="s">
        <v>138</v>
      </c>
      <c r="N122" s="49" t="s">
        <v>138</v>
      </c>
      <c r="O122" s="122"/>
      <c r="P122" s="49" t="s">
        <v>138</v>
      </c>
      <c r="Q122" s="49" t="s">
        <v>138</v>
      </c>
      <c r="R122" s="19"/>
      <c r="S122" s="122"/>
      <c r="T122" s="49" t="s">
        <v>138</v>
      </c>
      <c r="U122" s="49" t="s">
        <v>138</v>
      </c>
      <c r="V122" s="122"/>
      <c r="W122" s="49" t="s">
        <v>138</v>
      </c>
      <c r="X122" s="49" t="s">
        <v>138</v>
      </c>
      <c r="Y122" s="122"/>
      <c r="Z122" s="49" t="s">
        <v>138</v>
      </c>
      <c r="AA122" s="49" t="s">
        <v>138</v>
      </c>
      <c r="AB122" s="19"/>
    </row>
    <row r="123" spans="1:28" ht="25.5" x14ac:dyDescent="0.25">
      <c r="A123" s="15"/>
      <c r="B123" s="32" t="s">
        <v>154</v>
      </c>
      <c r="C123" s="122"/>
      <c r="D123" s="124" t="s">
        <v>138</v>
      </c>
      <c r="E123" s="69" t="s">
        <v>138</v>
      </c>
      <c r="F123" s="125"/>
      <c r="G123" s="49" t="s">
        <v>138</v>
      </c>
      <c r="H123" s="49" t="s">
        <v>138</v>
      </c>
      <c r="I123" s="122"/>
      <c r="J123" s="49" t="s">
        <v>138</v>
      </c>
      <c r="K123" s="49" t="s">
        <v>138</v>
      </c>
      <c r="L123" s="126"/>
      <c r="M123" s="49" t="s">
        <v>138</v>
      </c>
      <c r="N123" s="49" t="s">
        <v>138</v>
      </c>
      <c r="O123" s="126"/>
      <c r="P123" s="49" t="s">
        <v>138</v>
      </c>
      <c r="Q123" s="49" t="s">
        <v>138</v>
      </c>
      <c r="R123" s="19"/>
      <c r="S123" s="126"/>
      <c r="T123" s="49" t="s">
        <v>138</v>
      </c>
      <c r="U123" s="49" t="s">
        <v>138</v>
      </c>
      <c r="V123" s="126"/>
      <c r="W123" s="49" t="s">
        <v>138</v>
      </c>
      <c r="X123" s="49" t="s">
        <v>138</v>
      </c>
      <c r="Y123" s="126"/>
      <c r="Z123" s="49" t="s">
        <v>138</v>
      </c>
      <c r="AA123" s="49" t="s">
        <v>138</v>
      </c>
      <c r="AB123" s="19"/>
    </row>
    <row r="124" spans="1:28" ht="39" customHeight="1" x14ac:dyDescent="0.25">
      <c r="A124" s="76" t="s">
        <v>155</v>
      </c>
      <c r="B124" s="77" t="s">
        <v>220</v>
      </c>
      <c r="C124" s="124">
        <f>C125+C126</f>
        <v>418717.50212999998</v>
      </c>
      <c r="D124" s="124" t="s">
        <v>138</v>
      </c>
      <c r="E124" s="127" t="s">
        <v>138</v>
      </c>
      <c r="F124" s="124">
        <f>F125+F126</f>
        <v>660040.14726</v>
      </c>
      <c r="G124" s="124" t="s">
        <v>138</v>
      </c>
      <c r="H124" s="124" t="s">
        <v>138</v>
      </c>
      <c r="I124" s="124">
        <f>I125+I126</f>
        <v>133474.74606000006</v>
      </c>
      <c r="J124" s="124" t="s">
        <v>138</v>
      </c>
      <c r="K124" s="49" t="s">
        <v>138</v>
      </c>
      <c r="L124" s="49" t="s">
        <v>138</v>
      </c>
      <c r="M124" s="49" t="s">
        <v>138</v>
      </c>
      <c r="N124" s="124" t="s">
        <v>138</v>
      </c>
      <c r="O124" s="124" t="s">
        <v>138</v>
      </c>
      <c r="P124" s="124" t="s">
        <v>138</v>
      </c>
      <c r="Q124" s="124" t="s">
        <v>138</v>
      </c>
      <c r="R124" s="19"/>
      <c r="S124" s="124">
        <f>S125+S126</f>
        <v>385002.84236000001</v>
      </c>
      <c r="T124" s="124" t="s">
        <v>138</v>
      </c>
      <c r="U124" s="124" t="s">
        <v>138</v>
      </c>
      <c r="V124" s="124">
        <f>V125+V126</f>
        <v>383622.17412000004</v>
      </c>
      <c r="W124" s="49" t="s">
        <v>138</v>
      </c>
      <c r="X124" s="49" t="s">
        <v>138</v>
      </c>
      <c r="Y124" s="124">
        <f>Y125+Y126</f>
        <v>-88608</v>
      </c>
      <c r="Z124" s="49" t="s">
        <v>138</v>
      </c>
      <c r="AA124" s="49" t="s">
        <v>138</v>
      </c>
      <c r="AB124" s="19"/>
    </row>
    <row r="125" spans="1:28" x14ac:dyDescent="0.25">
      <c r="A125" s="24"/>
      <c r="B125" s="25" t="s">
        <v>221</v>
      </c>
      <c r="C125" s="26">
        <v>0</v>
      </c>
      <c r="D125" s="49" t="s">
        <v>138</v>
      </c>
      <c r="E125" s="69" t="s">
        <v>138</v>
      </c>
      <c r="F125" s="26">
        <f>8609.68075</f>
        <v>8609.6807499999995</v>
      </c>
      <c r="G125" s="49" t="s">
        <v>138</v>
      </c>
      <c r="H125" s="49" t="s">
        <v>138</v>
      </c>
      <c r="I125" s="118">
        <f>16063.65334-F125</f>
        <v>7453.9725900000012</v>
      </c>
      <c r="J125" s="49" t="s">
        <v>138</v>
      </c>
      <c r="K125" s="49" t="s">
        <v>138</v>
      </c>
      <c r="L125" s="49" t="s">
        <v>138</v>
      </c>
      <c r="M125" s="49" t="s">
        <v>138</v>
      </c>
      <c r="N125" s="124" t="s">
        <v>138</v>
      </c>
      <c r="O125" s="124" t="s">
        <v>138</v>
      </c>
      <c r="P125" s="124" t="s">
        <v>138</v>
      </c>
      <c r="Q125" s="124" t="s">
        <v>138</v>
      </c>
      <c r="R125" s="19"/>
      <c r="S125" s="128">
        <v>336.85410000000002</v>
      </c>
      <c r="T125" s="124" t="s">
        <v>138</v>
      </c>
      <c r="U125" s="124" t="s">
        <v>138</v>
      </c>
      <c r="V125" s="128">
        <v>0</v>
      </c>
      <c r="W125" s="49" t="s">
        <v>138</v>
      </c>
      <c r="X125" s="49" t="s">
        <v>138</v>
      </c>
      <c r="Y125" s="128">
        <v>0</v>
      </c>
      <c r="Z125" s="49" t="s">
        <v>138</v>
      </c>
      <c r="AA125" s="49" t="s">
        <v>138</v>
      </c>
      <c r="AB125" s="19"/>
    </row>
    <row r="126" spans="1:28" ht="24.75" x14ac:dyDescent="0.25">
      <c r="A126" s="78"/>
      <c r="B126" s="25" t="s">
        <v>222</v>
      </c>
      <c r="C126" s="122">
        <f>C128+C129+C130+C131+C132+C133+C134</f>
        <v>418717.50212999998</v>
      </c>
      <c r="D126" s="49" t="s">
        <v>138</v>
      </c>
      <c r="E126" s="69" t="s">
        <v>138</v>
      </c>
      <c r="F126" s="122">
        <f>F128+F129+F130+F131+F132+F133+F134</f>
        <v>651430.46651000006</v>
      </c>
      <c r="G126" s="49" t="s">
        <v>138</v>
      </c>
      <c r="H126" s="49" t="s">
        <v>138</v>
      </c>
      <c r="I126" s="122">
        <f>I128+I129+I130+I131+I132+I133+I134</f>
        <v>126020.77347000006</v>
      </c>
      <c r="J126" s="49" t="s">
        <v>138</v>
      </c>
      <c r="K126" s="49" t="s">
        <v>138</v>
      </c>
      <c r="L126" s="49" t="s">
        <v>138</v>
      </c>
      <c r="M126" s="49" t="s">
        <v>138</v>
      </c>
      <c r="N126" s="49" t="s">
        <v>138</v>
      </c>
      <c r="O126" s="49" t="s">
        <v>138</v>
      </c>
      <c r="P126" s="124" t="s">
        <v>138</v>
      </c>
      <c r="Q126" s="124" t="s">
        <v>138</v>
      </c>
      <c r="R126" s="19"/>
      <c r="S126" s="126">
        <f>S128+S129+S130+S131+S132+S133+S134</f>
        <v>384665.98826000001</v>
      </c>
      <c r="T126" s="124" t="s">
        <v>138</v>
      </c>
      <c r="U126" s="124" t="s">
        <v>138</v>
      </c>
      <c r="V126" s="126">
        <f>V128+V129+V131+V132+V133+V134</f>
        <v>383622.17412000004</v>
      </c>
      <c r="W126" s="49" t="s">
        <v>138</v>
      </c>
      <c r="X126" s="49" t="s">
        <v>138</v>
      </c>
      <c r="Y126" s="126">
        <f>Y128+Y129+Y130+Y131+Y132+Y133+Y134</f>
        <v>-88608</v>
      </c>
      <c r="Z126" s="49" t="s">
        <v>138</v>
      </c>
      <c r="AA126" s="49" t="s">
        <v>138</v>
      </c>
      <c r="AB126" s="19"/>
    </row>
    <row r="127" spans="1:28" x14ac:dyDescent="0.25">
      <c r="A127" s="78"/>
      <c r="B127" s="25" t="s">
        <v>7</v>
      </c>
      <c r="C127" s="122"/>
      <c r="D127" s="49"/>
      <c r="E127" s="69"/>
      <c r="F127" s="122"/>
      <c r="G127" s="49"/>
      <c r="H127" s="49"/>
      <c r="I127" s="122"/>
      <c r="J127" s="49"/>
      <c r="K127" s="49"/>
      <c r="L127" s="49"/>
      <c r="M127" s="49"/>
      <c r="N127" s="49"/>
      <c r="O127" s="49"/>
      <c r="P127" s="124"/>
      <c r="Q127" s="124"/>
      <c r="R127" s="19"/>
      <c r="S127" s="126"/>
      <c r="T127" s="124"/>
      <c r="U127" s="124"/>
      <c r="V127" s="126"/>
      <c r="W127" s="49"/>
      <c r="X127" s="49"/>
      <c r="Y127" s="126"/>
      <c r="Z127" s="49"/>
      <c r="AA127" s="49"/>
      <c r="AB127" s="19"/>
    </row>
    <row r="128" spans="1:28" ht="48.75" x14ac:dyDescent="0.25">
      <c r="A128" s="78"/>
      <c r="B128" s="154" t="s">
        <v>225</v>
      </c>
      <c r="C128" s="122">
        <v>932.38075000000003</v>
      </c>
      <c r="D128" s="49" t="s">
        <v>138</v>
      </c>
      <c r="E128" s="49" t="s">
        <v>138</v>
      </c>
      <c r="F128" s="122">
        <f>1817.67998</f>
        <v>1817.6799799999999</v>
      </c>
      <c r="G128" s="49" t="s">
        <v>138</v>
      </c>
      <c r="H128" s="49" t="s">
        <v>138</v>
      </c>
      <c r="I128" s="122">
        <f>2365.34499-F128</f>
        <v>547.66501000000017</v>
      </c>
      <c r="J128" s="49" t="s">
        <v>138</v>
      </c>
      <c r="K128" s="49" t="s">
        <v>138</v>
      </c>
      <c r="L128" s="49" t="s">
        <v>138</v>
      </c>
      <c r="M128" s="49" t="s">
        <v>138</v>
      </c>
      <c r="N128" s="49" t="s">
        <v>138</v>
      </c>
      <c r="O128" s="49" t="s">
        <v>138</v>
      </c>
      <c r="P128" s="49" t="s">
        <v>138</v>
      </c>
      <c r="Q128" s="49" t="s">
        <v>138</v>
      </c>
      <c r="R128" s="19"/>
      <c r="S128" s="126">
        <v>1154.0890099999999</v>
      </c>
      <c r="T128" s="49" t="s">
        <v>138</v>
      </c>
      <c r="U128" s="49" t="s">
        <v>138</v>
      </c>
      <c r="V128" s="126">
        <f>S128-415.2</f>
        <v>738.88900999999987</v>
      </c>
      <c r="W128" s="49" t="s">
        <v>138</v>
      </c>
      <c r="X128" s="49" t="s">
        <v>138</v>
      </c>
      <c r="Y128" s="126">
        <v>0</v>
      </c>
      <c r="Z128" s="49" t="s">
        <v>138</v>
      </c>
      <c r="AA128" s="49" t="s">
        <v>138</v>
      </c>
      <c r="AB128" s="19"/>
    </row>
    <row r="129" spans="1:28" s="114" customFormat="1" ht="36.75" x14ac:dyDescent="0.25">
      <c r="A129" s="79"/>
      <c r="B129" s="154" t="s">
        <v>223</v>
      </c>
      <c r="C129" s="122">
        <v>258121.73842000001</v>
      </c>
      <c r="D129" s="49" t="s">
        <v>138</v>
      </c>
      <c r="E129" s="49" t="s">
        <v>138</v>
      </c>
      <c r="F129" s="122">
        <f>568280.09604</f>
        <v>568280.09603999997</v>
      </c>
      <c r="G129" s="49" t="s">
        <v>138</v>
      </c>
      <c r="H129" s="49" t="s">
        <v>138</v>
      </c>
      <c r="I129" s="122">
        <f>600959.55278-F129</f>
        <v>32679.456740000052</v>
      </c>
      <c r="J129" s="49" t="s">
        <v>138</v>
      </c>
      <c r="K129" s="49" t="s">
        <v>138</v>
      </c>
      <c r="L129" s="49" t="s">
        <v>138</v>
      </c>
      <c r="M129" s="49" t="s">
        <v>138</v>
      </c>
      <c r="N129" s="49" t="s">
        <v>138</v>
      </c>
      <c r="O129" s="49" t="s">
        <v>138</v>
      </c>
      <c r="P129" s="49" t="s">
        <v>138</v>
      </c>
      <c r="Q129" s="49" t="s">
        <v>138</v>
      </c>
      <c r="R129" s="50"/>
      <c r="S129" s="126">
        <v>259653.62476000001</v>
      </c>
      <c r="T129" s="49" t="s">
        <v>138</v>
      </c>
      <c r="U129" s="49" t="s">
        <v>138</v>
      </c>
      <c r="V129" s="126">
        <f>S129-9040.8</f>
        <v>250612.82476000002</v>
      </c>
      <c r="W129" s="49" t="s">
        <v>138</v>
      </c>
      <c r="X129" s="49" t="s">
        <v>138</v>
      </c>
      <c r="Y129" s="126">
        <v>0</v>
      </c>
      <c r="Z129" s="49" t="s">
        <v>138</v>
      </c>
      <c r="AA129" s="49" t="s">
        <v>138</v>
      </c>
      <c r="AB129" s="50"/>
    </row>
    <row r="130" spans="1:28" s="114" customFormat="1" ht="36.75" x14ac:dyDescent="0.25">
      <c r="A130" s="79"/>
      <c r="B130" s="154" t="s">
        <v>224</v>
      </c>
      <c r="C130" s="122">
        <v>0</v>
      </c>
      <c r="D130" s="49" t="s">
        <v>138</v>
      </c>
      <c r="E130" s="49" t="s">
        <v>138</v>
      </c>
      <c r="F130" s="122">
        <v>0</v>
      </c>
      <c r="G130" s="49" t="s">
        <v>138</v>
      </c>
      <c r="H130" s="49" t="s">
        <v>138</v>
      </c>
      <c r="I130" s="122">
        <v>0</v>
      </c>
      <c r="J130" s="49" t="s">
        <v>138</v>
      </c>
      <c r="K130" s="49" t="s">
        <v>138</v>
      </c>
      <c r="L130" s="49" t="s">
        <v>138</v>
      </c>
      <c r="M130" s="49" t="s">
        <v>138</v>
      </c>
      <c r="N130" s="49" t="s">
        <v>138</v>
      </c>
      <c r="O130" s="49" t="s">
        <v>138</v>
      </c>
      <c r="P130" s="49" t="s">
        <v>138</v>
      </c>
      <c r="Q130" s="49" t="s">
        <v>138</v>
      </c>
      <c r="R130" s="50"/>
      <c r="S130" s="126"/>
      <c r="T130" s="49" t="s">
        <v>138</v>
      </c>
      <c r="U130" s="49" t="s">
        <v>138</v>
      </c>
      <c r="V130" s="126"/>
      <c r="W130" s="49" t="s">
        <v>138</v>
      </c>
      <c r="X130" s="49" t="s">
        <v>138</v>
      </c>
      <c r="Y130" s="126"/>
      <c r="Z130" s="49" t="s">
        <v>138</v>
      </c>
      <c r="AA130" s="49" t="s">
        <v>138</v>
      </c>
      <c r="AB130" s="50"/>
    </row>
    <row r="131" spans="1:28" s="114" customFormat="1" ht="24.75" x14ac:dyDescent="0.25">
      <c r="A131" s="79"/>
      <c r="B131" s="154" t="s">
        <v>212</v>
      </c>
      <c r="C131" s="122">
        <v>612.88712999999996</v>
      </c>
      <c r="D131" s="49" t="s">
        <v>138</v>
      </c>
      <c r="E131" s="69" t="s">
        <v>138</v>
      </c>
      <c r="F131" s="122">
        <f>4697.62117</f>
        <v>4697.6211700000003</v>
      </c>
      <c r="G131" s="49" t="s">
        <v>138</v>
      </c>
      <c r="H131" s="69" t="s">
        <v>138</v>
      </c>
      <c r="I131" s="122">
        <f>4508.36217-F131</f>
        <v>-189.25900000000001</v>
      </c>
      <c r="J131" s="49" t="s">
        <v>138</v>
      </c>
      <c r="K131" s="69" t="s">
        <v>138</v>
      </c>
      <c r="L131" s="49" t="s">
        <v>138</v>
      </c>
      <c r="M131" s="49" t="s">
        <v>138</v>
      </c>
      <c r="N131" s="49" t="s">
        <v>138</v>
      </c>
      <c r="O131" s="49" t="s">
        <v>138</v>
      </c>
      <c r="P131" s="49" t="s">
        <v>138</v>
      </c>
      <c r="Q131" s="49" t="s">
        <v>138</v>
      </c>
      <c r="R131" s="50"/>
      <c r="S131" s="126">
        <f>C131+S155-S156</f>
        <v>4141.6471299999994</v>
      </c>
      <c r="T131" s="49" t="s">
        <v>138</v>
      </c>
      <c r="U131" s="49" t="s">
        <v>138</v>
      </c>
      <c r="V131" s="126">
        <f>S131-V156+V155</f>
        <v>5772.2771299999995</v>
      </c>
      <c r="W131" s="49" t="s">
        <v>138</v>
      </c>
      <c r="X131" s="49" t="s">
        <v>138</v>
      </c>
      <c r="Y131" s="126">
        <v>0</v>
      </c>
      <c r="Z131" s="49" t="s">
        <v>138</v>
      </c>
      <c r="AA131" s="49" t="s">
        <v>138</v>
      </c>
      <c r="AB131" s="50"/>
    </row>
    <row r="132" spans="1:28" ht="36.75" x14ac:dyDescent="0.25">
      <c r="A132" s="79"/>
      <c r="B132" s="154" t="s">
        <v>226</v>
      </c>
      <c r="C132" s="122">
        <f>122767.2011+2.898+451.51989</f>
        <v>123221.61899</v>
      </c>
      <c r="D132" s="49" t="s">
        <v>138</v>
      </c>
      <c r="E132" s="69" t="s">
        <v>138</v>
      </c>
      <c r="F132" s="122">
        <f>1274+835.5</f>
        <v>2109.5</v>
      </c>
      <c r="G132" s="49" t="s">
        <v>138</v>
      </c>
      <c r="H132" s="49" t="s">
        <v>138</v>
      </c>
      <c r="I132" s="122">
        <f>1274+835.5+167090-F132</f>
        <v>167090</v>
      </c>
      <c r="J132" s="49" t="s">
        <v>138</v>
      </c>
      <c r="K132" s="49" t="s">
        <v>138</v>
      </c>
      <c r="L132" s="49" t="s">
        <v>138</v>
      </c>
      <c r="M132" s="49" t="s">
        <v>138</v>
      </c>
      <c r="N132" s="49" t="s">
        <v>138</v>
      </c>
      <c r="O132" s="49" t="s">
        <v>138</v>
      </c>
      <c r="P132" s="124" t="s">
        <v>138</v>
      </c>
      <c r="Q132" s="124" t="s">
        <v>138</v>
      </c>
      <c r="R132" s="19"/>
      <c r="S132" s="126">
        <f>2.898+451.51989+121988.25803</f>
        <v>122442.67591999999</v>
      </c>
      <c r="T132" s="124" t="s">
        <v>138</v>
      </c>
      <c r="U132" s="124" t="s">
        <v>138</v>
      </c>
      <c r="V132" s="126">
        <f>S132-238.3-415.7</f>
        <v>121788.67591999999</v>
      </c>
      <c r="W132" s="49" t="s">
        <v>138</v>
      </c>
      <c r="X132" s="49" t="s">
        <v>138</v>
      </c>
      <c r="Y132" s="126">
        <v>0</v>
      </c>
      <c r="Z132" s="49" t="s">
        <v>138</v>
      </c>
      <c r="AA132" s="49" t="s">
        <v>138</v>
      </c>
      <c r="AB132" s="19"/>
    </row>
    <row r="133" spans="1:28" s="114" customFormat="1" ht="60.75" x14ac:dyDescent="0.25">
      <c r="A133" s="79"/>
      <c r="B133" s="154" t="s">
        <v>213</v>
      </c>
      <c r="C133" s="122">
        <v>40183.786899999999</v>
      </c>
      <c r="D133" s="49" t="s">
        <v>138</v>
      </c>
      <c r="E133" s="49" t="s">
        <v>138</v>
      </c>
      <c r="F133" s="122">
        <f>29968.65244</f>
        <v>29968.652440000002</v>
      </c>
      <c r="G133" s="49" t="s">
        <v>138</v>
      </c>
      <c r="H133" s="49" t="s">
        <v>138</v>
      </c>
      <c r="I133" s="122">
        <f>33274.90854-F133</f>
        <v>3306.2560999999951</v>
      </c>
      <c r="J133" s="49" t="s">
        <v>138</v>
      </c>
      <c r="K133" s="49" t="s">
        <v>138</v>
      </c>
      <c r="L133" s="49" t="s">
        <v>138</v>
      </c>
      <c r="M133" s="49" t="s">
        <v>138</v>
      </c>
      <c r="N133" s="49" t="s">
        <v>138</v>
      </c>
      <c r="O133" s="49" t="s">
        <v>138</v>
      </c>
      <c r="P133" s="49" t="s">
        <v>138</v>
      </c>
      <c r="Q133" s="49" t="s">
        <v>138</v>
      </c>
      <c r="R133" s="50"/>
      <c r="S133" s="126">
        <f>40737.60763</f>
        <v>40737.607629999999</v>
      </c>
      <c r="T133" s="49" t="s">
        <v>138</v>
      </c>
      <c r="U133" s="49" t="s">
        <v>138</v>
      </c>
      <c r="V133" s="126">
        <f>S133+V31</f>
        <v>41710.707300000002</v>
      </c>
      <c r="W133" s="49" t="s">
        <v>138</v>
      </c>
      <c r="X133" s="49" t="s">
        <v>138</v>
      </c>
      <c r="Y133" s="126">
        <v>0</v>
      </c>
      <c r="Z133" s="49" t="s">
        <v>138</v>
      </c>
      <c r="AA133" s="49" t="s">
        <v>138</v>
      </c>
      <c r="AB133" s="50"/>
    </row>
    <row r="134" spans="1:28" s="114" customFormat="1" x14ac:dyDescent="0.25">
      <c r="A134" s="79"/>
      <c r="B134" s="154" t="s">
        <v>227</v>
      </c>
      <c r="C134" s="122">
        <v>-4354.9100600000002</v>
      </c>
      <c r="D134" s="49" t="s">
        <v>138</v>
      </c>
      <c r="E134" s="49" t="s">
        <v>138</v>
      </c>
      <c r="F134" s="122">
        <f>44556.91688</f>
        <v>44556.916879999997</v>
      </c>
      <c r="G134" s="49" t="s">
        <v>138</v>
      </c>
      <c r="H134" s="49" t="s">
        <v>138</v>
      </c>
      <c r="I134" s="122">
        <f>-32856.4285-F134</f>
        <v>-77413.345379999999</v>
      </c>
      <c r="J134" s="49" t="s">
        <v>138</v>
      </c>
      <c r="K134" s="49" t="s">
        <v>138</v>
      </c>
      <c r="L134" s="49" t="s">
        <v>138</v>
      </c>
      <c r="M134" s="49" t="s">
        <v>138</v>
      </c>
      <c r="N134" s="49" t="s">
        <v>138</v>
      </c>
      <c r="O134" s="49" t="s">
        <v>138</v>
      </c>
      <c r="P134" s="49" t="s">
        <v>138</v>
      </c>
      <c r="Q134" s="49" t="s">
        <v>138</v>
      </c>
      <c r="R134" s="50"/>
      <c r="S134" s="126">
        <v>-43463.656190000002</v>
      </c>
      <c r="T134" s="49" t="s">
        <v>138</v>
      </c>
      <c r="U134" s="49" t="s">
        <v>138</v>
      </c>
      <c r="V134" s="126">
        <v>-37001.199999999997</v>
      </c>
      <c r="W134" s="49" t="s">
        <v>138</v>
      </c>
      <c r="X134" s="49" t="s">
        <v>138</v>
      </c>
      <c r="Y134" s="126">
        <f>-88608</f>
        <v>-88608</v>
      </c>
      <c r="Z134" s="49" t="s">
        <v>138</v>
      </c>
      <c r="AA134" s="49" t="s">
        <v>138</v>
      </c>
      <c r="AB134" s="50"/>
    </row>
    <row r="135" spans="1:28" ht="26.25" x14ac:dyDescent="0.25">
      <c r="A135" s="76" t="s">
        <v>156</v>
      </c>
      <c r="B135" s="74" t="s">
        <v>157</v>
      </c>
      <c r="C135" s="126">
        <v>0</v>
      </c>
      <c r="D135" s="122"/>
      <c r="E135" s="129"/>
      <c r="F135" s="122">
        <v>0</v>
      </c>
      <c r="G135" s="122"/>
      <c r="H135" s="122"/>
      <c r="I135" s="122">
        <v>0</v>
      </c>
      <c r="J135" s="122"/>
      <c r="K135" s="122"/>
      <c r="L135" s="49" t="s">
        <v>138</v>
      </c>
      <c r="M135" s="49" t="s">
        <v>138</v>
      </c>
      <c r="N135" s="49" t="s">
        <v>138</v>
      </c>
      <c r="O135" s="49" t="s">
        <v>138</v>
      </c>
      <c r="P135" s="49" t="s">
        <v>138</v>
      </c>
      <c r="Q135" s="49" t="s">
        <v>138</v>
      </c>
      <c r="R135" s="130" t="s">
        <v>138</v>
      </c>
      <c r="S135" s="126"/>
      <c r="T135" s="126"/>
      <c r="U135" s="126"/>
      <c r="V135" s="126"/>
      <c r="W135" s="126"/>
      <c r="X135" s="126"/>
      <c r="Y135" s="126"/>
      <c r="Z135" s="126"/>
      <c r="AA135" s="126"/>
      <c r="AB135" s="19" t="e">
        <f t="shared" si="80"/>
        <v>#DIV/0!</v>
      </c>
    </row>
    <row r="136" spans="1:28" s="115" customFormat="1" ht="20.25" customHeight="1" x14ac:dyDescent="0.25">
      <c r="A136" s="76" t="s">
        <v>158</v>
      </c>
      <c r="B136" s="80" t="s">
        <v>159</v>
      </c>
      <c r="C136" s="131">
        <f>SUM(C137:C150)</f>
        <v>3747292.3447799999</v>
      </c>
      <c r="D136" s="131">
        <f t="shared" ref="D136:Z136" si="99">SUM(D137:D150)</f>
        <v>2187765.0036299997</v>
      </c>
      <c r="E136" s="132">
        <f>C136-D136</f>
        <v>1559527.3411500002</v>
      </c>
      <c r="F136" s="131">
        <f t="shared" si="99"/>
        <v>575204.65351000009</v>
      </c>
      <c r="G136" s="131">
        <f t="shared" si="99"/>
        <v>343180.60852000001</v>
      </c>
      <c r="H136" s="132">
        <f>F136-G136</f>
        <v>232024.04499000008</v>
      </c>
      <c r="I136" s="131">
        <f t="shared" si="99"/>
        <v>315367.34921999997</v>
      </c>
      <c r="J136" s="131">
        <f t="shared" si="99"/>
        <v>154683.09007999999</v>
      </c>
      <c r="K136" s="132">
        <f>I136-J136</f>
        <v>160684.25913999998</v>
      </c>
      <c r="L136" s="131">
        <f>SUM(L137:L150)</f>
        <v>4109661.7452000002</v>
      </c>
      <c r="M136" s="131">
        <f t="shared" si="99"/>
        <v>2473144.59968</v>
      </c>
      <c r="N136" s="132">
        <f>L136-M136</f>
        <v>1636517.1455200003</v>
      </c>
      <c r="O136" s="131">
        <f t="shared" si="99"/>
        <v>4225670.92777</v>
      </c>
      <c r="P136" s="131">
        <f t="shared" si="99"/>
        <v>2589153.7822499997</v>
      </c>
      <c r="Q136" s="132">
        <f>O136-P136</f>
        <v>1636517.1455200003</v>
      </c>
      <c r="R136" s="19">
        <f t="shared" ref="R136:R151" si="100">Q136/E136</f>
        <v>1.0493673963505041</v>
      </c>
      <c r="S136" s="133">
        <f t="shared" si="99"/>
        <v>623625.91635999992</v>
      </c>
      <c r="T136" s="133">
        <f t="shared" si="99"/>
        <v>299167.29452999996</v>
      </c>
      <c r="U136" s="132">
        <f>S136-T136</f>
        <v>324458.62182999996</v>
      </c>
      <c r="V136" s="133">
        <f t="shared" si="99"/>
        <v>316436.39999999997</v>
      </c>
      <c r="W136" s="133">
        <f t="shared" si="99"/>
        <v>224337.19099999999</v>
      </c>
      <c r="X136" s="132">
        <f>V136-W136</f>
        <v>92099.208999999973</v>
      </c>
      <c r="Y136" s="133">
        <f t="shared" si="99"/>
        <v>4256722.6793799996</v>
      </c>
      <c r="Z136" s="133">
        <f t="shared" si="99"/>
        <v>2589408.8598299995</v>
      </c>
      <c r="AA136" s="132">
        <f>Y136-Z136</f>
        <v>1667313.8195500001</v>
      </c>
      <c r="AB136" s="19">
        <f t="shared" si="80"/>
        <v>1.0691148372689112</v>
      </c>
    </row>
    <row r="137" spans="1:28" x14ac:dyDescent="0.25">
      <c r="A137" s="81"/>
      <c r="B137" s="82" t="s">
        <v>160</v>
      </c>
      <c r="C137" s="134">
        <v>453444.98658000003</v>
      </c>
      <c r="D137" s="134">
        <v>19132.08599</v>
      </c>
      <c r="E137" s="135">
        <f>C137-D137</f>
        <v>434312.90059000003</v>
      </c>
      <c r="F137" s="120">
        <f>72580.14845</f>
        <v>72580.148449999993</v>
      </c>
      <c r="G137" s="120">
        <f>183.20357</f>
        <v>183.20357000000001</v>
      </c>
      <c r="H137" s="135">
        <f>F137-G137</f>
        <v>72396.944879999995</v>
      </c>
      <c r="I137" s="120">
        <f>117172.54259-F137</f>
        <v>44592.394140000004</v>
      </c>
      <c r="J137" s="120">
        <f>280.4883-G137</f>
        <v>97.284729999999968</v>
      </c>
      <c r="K137" s="135">
        <f>I137-J137</f>
        <v>44495.109410000005</v>
      </c>
      <c r="L137" s="120">
        <v>446335.88900000002</v>
      </c>
      <c r="M137" s="120">
        <v>1029.9780000000001</v>
      </c>
      <c r="N137" s="135">
        <f>L137-M137</f>
        <v>445305.91100000002</v>
      </c>
      <c r="O137" s="136">
        <v>447965.55833999999</v>
      </c>
      <c r="P137" s="136">
        <v>4066.7041899999999</v>
      </c>
      <c r="Q137" s="135">
        <f>O137-P137</f>
        <v>443898.85414999997</v>
      </c>
      <c r="R137" s="19">
        <f t="shared" si="100"/>
        <v>1.0220715377023748</v>
      </c>
      <c r="S137" s="136">
        <v>92576.566279999999</v>
      </c>
      <c r="T137" s="136">
        <v>2478.1324</v>
      </c>
      <c r="U137" s="135">
        <f>S137-T137</f>
        <v>90098.433879999997</v>
      </c>
      <c r="V137" s="136">
        <v>38741.800000000003</v>
      </c>
      <c r="W137" s="136">
        <v>745.3</v>
      </c>
      <c r="X137" s="135">
        <f>V137-W137</f>
        <v>37996.5</v>
      </c>
      <c r="Y137" s="136">
        <f>O137</f>
        <v>447965.55833999999</v>
      </c>
      <c r="Z137" s="136">
        <f>P137</f>
        <v>4066.7041899999999</v>
      </c>
      <c r="AA137" s="135">
        <f>Y137-Z137</f>
        <v>443898.85414999997</v>
      </c>
      <c r="AB137" s="19">
        <f t="shared" si="80"/>
        <v>1.0220715377023748</v>
      </c>
    </row>
    <row r="138" spans="1:28" x14ac:dyDescent="0.25">
      <c r="A138" s="81"/>
      <c r="B138" s="83" t="s">
        <v>161</v>
      </c>
      <c r="C138" s="134">
        <v>2965.4297999999999</v>
      </c>
      <c r="D138" s="134">
        <f>C138</f>
        <v>2965.4297999999999</v>
      </c>
      <c r="E138" s="135">
        <f t="shared" ref="E138:E150" si="101">C138-D138</f>
        <v>0</v>
      </c>
      <c r="F138" s="118">
        <f>469.4095</f>
        <v>469.40949999999998</v>
      </c>
      <c r="G138" s="118">
        <f>F138</f>
        <v>469.40949999999998</v>
      </c>
      <c r="H138" s="135">
        <f t="shared" ref="H138:H150" si="102">F138-G138</f>
        <v>0</v>
      </c>
      <c r="I138" s="118">
        <f>651.76284-F138</f>
        <v>182.35334</v>
      </c>
      <c r="J138" s="118">
        <f>I138</f>
        <v>182.35334</v>
      </c>
      <c r="K138" s="135">
        <f t="shared" ref="K138:K150" si="103">I138-J138</f>
        <v>0</v>
      </c>
      <c r="L138" s="118">
        <v>2653.5441999999998</v>
      </c>
      <c r="M138" s="118">
        <f>L138</f>
        <v>2653.5441999999998</v>
      </c>
      <c r="N138" s="135">
        <f t="shared" ref="N138:N150" si="104">L138-M138</f>
        <v>0</v>
      </c>
      <c r="O138" s="26">
        <v>2773.2384299999999</v>
      </c>
      <c r="P138" s="26">
        <f>O138</f>
        <v>2773.2384299999999</v>
      </c>
      <c r="Q138" s="135">
        <f t="shared" ref="Q138:Q149" si="105">O138-P138</f>
        <v>0</v>
      </c>
      <c r="R138" s="19" t="e">
        <f t="shared" si="100"/>
        <v>#DIV/0!</v>
      </c>
      <c r="S138" s="26">
        <v>451.74466999999999</v>
      </c>
      <c r="T138" s="26">
        <f>S138</f>
        <v>451.74466999999999</v>
      </c>
      <c r="U138" s="135">
        <f t="shared" ref="U138:U150" si="106">S138-T138</f>
        <v>0</v>
      </c>
      <c r="V138" s="26">
        <v>157.6</v>
      </c>
      <c r="W138" s="26">
        <f>V138</f>
        <v>157.6</v>
      </c>
      <c r="X138" s="135">
        <f t="shared" ref="X138:X149" si="107">V138-W138</f>
        <v>0</v>
      </c>
      <c r="Y138" s="136">
        <f t="shared" ref="Y138:Y149" si="108">O138</f>
        <v>2773.2384299999999</v>
      </c>
      <c r="Z138" s="136">
        <f t="shared" ref="Z138:Z149" si="109">P138</f>
        <v>2773.2384299999999</v>
      </c>
      <c r="AA138" s="135">
        <f t="shared" ref="AA138:AA150" si="110">Y138-Z138</f>
        <v>0</v>
      </c>
      <c r="AB138" s="19" t="e">
        <f t="shared" si="80"/>
        <v>#DIV/0!</v>
      </c>
    </row>
    <row r="139" spans="1:28" x14ac:dyDescent="0.25">
      <c r="A139" s="81"/>
      <c r="B139" s="83" t="s">
        <v>162</v>
      </c>
      <c r="C139" s="26">
        <v>25668.480930000002</v>
      </c>
      <c r="D139" s="26">
        <v>3411.7733699999999</v>
      </c>
      <c r="E139" s="135">
        <f t="shared" si="101"/>
        <v>22256.707560000003</v>
      </c>
      <c r="F139" s="118">
        <f>3937.75761</f>
        <v>3937.7576100000001</v>
      </c>
      <c r="G139" s="118">
        <f>663.62609</f>
        <v>663.62608999999998</v>
      </c>
      <c r="H139" s="135">
        <f t="shared" si="102"/>
        <v>3274.1315199999999</v>
      </c>
      <c r="I139" s="118">
        <f>5857.15923-F139</f>
        <v>1919.4016200000001</v>
      </c>
      <c r="J139" s="118">
        <f>899.50209-G139</f>
        <v>235.87599999999998</v>
      </c>
      <c r="K139" s="135">
        <f t="shared" si="103"/>
        <v>1683.5256200000001</v>
      </c>
      <c r="L139" s="118">
        <v>24624.390790000001</v>
      </c>
      <c r="M139" s="118">
        <v>3704.29079</v>
      </c>
      <c r="N139" s="135">
        <f t="shared" si="104"/>
        <v>20920.100000000002</v>
      </c>
      <c r="O139" s="26">
        <v>24605.302350000002</v>
      </c>
      <c r="P139" s="26">
        <v>3685.20235</v>
      </c>
      <c r="Q139" s="135">
        <f t="shared" si="105"/>
        <v>20920.100000000002</v>
      </c>
      <c r="R139" s="19">
        <f t="shared" si="100"/>
        <v>0.93994585423757082</v>
      </c>
      <c r="S139" s="26">
        <v>3861.6739400000001</v>
      </c>
      <c r="T139" s="26">
        <v>528.87255000000005</v>
      </c>
      <c r="U139" s="135">
        <f t="shared" si="106"/>
        <v>3332.8013900000001</v>
      </c>
      <c r="V139" s="26">
        <v>1412.3</v>
      </c>
      <c r="W139" s="26">
        <v>187.5</v>
      </c>
      <c r="X139" s="135">
        <f t="shared" si="107"/>
        <v>1224.8</v>
      </c>
      <c r="Y139" s="136">
        <f t="shared" si="108"/>
        <v>24605.302350000002</v>
      </c>
      <c r="Z139" s="136">
        <f t="shared" si="109"/>
        <v>3685.20235</v>
      </c>
      <c r="AA139" s="135">
        <f t="shared" si="110"/>
        <v>20920.100000000002</v>
      </c>
      <c r="AB139" s="19">
        <f t="shared" si="80"/>
        <v>0.93994585423757082</v>
      </c>
    </row>
    <row r="140" spans="1:28" x14ac:dyDescent="0.25">
      <c r="A140" s="81"/>
      <c r="B140" s="83" t="s">
        <v>163</v>
      </c>
      <c r="C140" s="26">
        <v>266467.22411000001</v>
      </c>
      <c r="D140" s="26">
        <v>176340.71895000001</v>
      </c>
      <c r="E140" s="135">
        <f t="shared" si="101"/>
        <v>90126.505160000001</v>
      </c>
      <c r="F140" s="118">
        <f>16063.016</f>
        <v>16063.016</v>
      </c>
      <c r="G140" s="118">
        <f>650.55018</f>
        <v>650.55017999999995</v>
      </c>
      <c r="H140" s="135">
        <f t="shared" si="102"/>
        <v>15412.465819999999</v>
      </c>
      <c r="I140" s="118">
        <f>26707.74116-F140</f>
        <v>10644.725160000002</v>
      </c>
      <c r="J140" s="118">
        <f>2102.11473-G140</f>
        <v>1451.5645499999998</v>
      </c>
      <c r="K140" s="135">
        <f t="shared" si="103"/>
        <v>9193.1606100000026</v>
      </c>
      <c r="L140" s="118">
        <v>147076.36095</v>
      </c>
      <c r="M140" s="118">
        <v>51621.231950000001</v>
      </c>
      <c r="N140" s="135">
        <f t="shared" si="104"/>
        <v>95455.129000000001</v>
      </c>
      <c r="O140" s="26">
        <v>167650.06095000001</v>
      </c>
      <c r="P140" s="26">
        <v>69444.931949999998</v>
      </c>
      <c r="Q140" s="135">
        <f t="shared" si="105"/>
        <v>98205.129000000015</v>
      </c>
      <c r="R140" s="19">
        <f t="shared" si="100"/>
        <v>1.0896364929013742</v>
      </c>
      <c r="S140" s="26">
        <v>16486.81581</v>
      </c>
      <c r="T140" s="26">
        <v>416.27366999999998</v>
      </c>
      <c r="U140" s="135">
        <f t="shared" si="106"/>
        <v>16070.54214</v>
      </c>
      <c r="V140" s="26">
        <v>8512.2999999999993</v>
      </c>
      <c r="W140" s="26">
        <v>2745.3</v>
      </c>
      <c r="X140" s="135">
        <f t="shared" si="107"/>
        <v>5766.9999999999991</v>
      </c>
      <c r="Y140" s="136">
        <f>O140+612.88713</f>
        <v>168262.94808</v>
      </c>
      <c r="Z140" s="136">
        <f t="shared" si="109"/>
        <v>69444.931949999998</v>
      </c>
      <c r="AA140" s="135">
        <f t="shared" si="110"/>
        <v>98818.016130000004</v>
      </c>
      <c r="AB140" s="19">
        <f t="shared" si="80"/>
        <v>1.0964367913142767</v>
      </c>
    </row>
    <row r="141" spans="1:28" x14ac:dyDescent="0.25">
      <c r="A141" s="81"/>
      <c r="B141" s="83" t="s">
        <v>164</v>
      </c>
      <c r="C141" s="26">
        <f>436514.79023</f>
        <v>436514.79022999998</v>
      </c>
      <c r="D141" s="26">
        <v>185684.92285</v>
      </c>
      <c r="E141" s="135">
        <f t="shared" si="101"/>
        <v>250829.86737999998</v>
      </c>
      <c r="F141" s="118">
        <f>48399.51793</f>
        <v>48399.517930000002</v>
      </c>
      <c r="G141" s="118">
        <f>27204.43913</f>
        <v>27204.439129999999</v>
      </c>
      <c r="H141" s="135">
        <f t="shared" si="102"/>
        <v>21195.078800000003</v>
      </c>
      <c r="I141" s="118">
        <f>67968.25495-F141</f>
        <v>19568.73702</v>
      </c>
      <c r="J141" s="118">
        <f>35183.51774-G141</f>
        <v>7979.0786100000041</v>
      </c>
      <c r="K141" s="135">
        <f t="shared" si="103"/>
        <v>11589.658409999996</v>
      </c>
      <c r="L141" s="118">
        <v>572503.83837999997</v>
      </c>
      <c r="M141" s="118">
        <v>374415.73838</v>
      </c>
      <c r="N141" s="135">
        <f t="shared" si="104"/>
        <v>198088.09999999998</v>
      </c>
      <c r="O141" s="26">
        <v>647240.29633000004</v>
      </c>
      <c r="P141" s="26">
        <v>450313.13948000001</v>
      </c>
      <c r="Q141" s="135">
        <f t="shared" si="105"/>
        <v>196927.15685000003</v>
      </c>
      <c r="R141" s="19">
        <f t="shared" si="100"/>
        <v>0.78510250356932609</v>
      </c>
      <c r="S141" s="26">
        <v>30547.29752</v>
      </c>
      <c r="T141" s="26">
        <v>3890.1145499999998</v>
      </c>
      <c r="U141" s="135">
        <f t="shared" si="106"/>
        <v>26657.182970000002</v>
      </c>
      <c r="V141" s="26">
        <f>4112.3+104287</f>
        <v>108399.3</v>
      </c>
      <c r="W141" s="26">
        <v>103243.99099999999</v>
      </c>
      <c r="X141" s="135">
        <f t="shared" si="107"/>
        <v>5155.3090000000084</v>
      </c>
      <c r="Y141" s="136">
        <f>O141+252.17958</f>
        <v>647492.47591000004</v>
      </c>
      <c r="Z141" s="136">
        <f>P141+252.17958</f>
        <v>450565.31906000001</v>
      </c>
      <c r="AA141" s="135">
        <f t="shared" si="110"/>
        <v>196927.15685000003</v>
      </c>
      <c r="AB141" s="19">
        <f t="shared" si="80"/>
        <v>0.78510250356932609</v>
      </c>
    </row>
    <row r="142" spans="1:28" x14ac:dyDescent="0.25">
      <c r="A142" s="81"/>
      <c r="B142" s="83" t="s">
        <v>165</v>
      </c>
      <c r="C142" s="26">
        <v>1365.8040000000001</v>
      </c>
      <c r="D142" s="26">
        <v>0</v>
      </c>
      <c r="E142" s="135">
        <f t="shared" si="101"/>
        <v>1365.8040000000001</v>
      </c>
      <c r="F142" s="118">
        <v>0</v>
      </c>
      <c r="G142" s="118">
        <v>0</v>
      </c>
      <c r="H142" s="135">
        <f t="shared" si="102"/>
        <v>0</v>
      </c>
      <c r="I142" s="118">
        <v>0</v>
      </c>
      <c r="J142" s="118">
        <v>0</v>
      </c>
      <c r="K142" s="135">
        <f t="shared" si="103"/>
        <v>0</v>
      </c>
      <c r="L142" s="118">
        <v>13126.9</v>
      </c>
      <c r="M142" s="118">
        <v>0</v>
      </c>
      <c r="N142" s="135">
        <f t="shared" si="104"/>
        <v>13126.9</v>
      </c>
      <c r="O142" s="26">
        <v>13176.9</v>
      </c>
      <c r="P142" s="26">
        <v>0</v>
      </c>
      <c r="Q142" s="135">
        <f t="shared" si="105"/>
        <v>13176.9</v>
      </c>
      <c r="R142" s="19">
        <f t="shared" si="100"/>
        <v>9.6477239779646258</v>
      </c>
      <c r="S142" s="26">
        <v>50</v>
      </c>
      <c r="T142" s="26">
        <v>0</v>
      </c>
      <c r="U142" s="135">
        <f t="shared" si="106"/>
        <v>50</v>
      </c>
      <c r="V142" s="26"/>
      <c r="W142" s="26"/>
      <c r="X142" s="135">
        <f t="shared" si="107"/>
        <v>0</v>
      </c>
      <c r="Y142" s="136">
        <f>O142+40183.7869-10000</f>
        <v>43360.686900000001</v>
      </c>
      <c r="Z142" s="136">
        <f t="shared" si="109"/>
        <v>0</v>
      </c>
      <c r="AA142" s="135">
        <f t="shared" si="110"/>
        <v>43360.686900000001</v>
      </c>
      <c r="AB142" s="19">
        <f t="shared" si="80"/>
        <v>31.747371438361579</v>
      </c>
    </row>
    <row r="143" spans="1:28" x14ac:dyDescent="0.25">
      <c r="A143" s="81"/>
      <c r="B143" s="83" t="s">
        <v>166</v>
      </c>
      <c r="C143" s="26">
        <v>1985647.57874</v>
      </c>
      <c r="D143" s="26">
        <v>1439887.5888</v>
      </c>
      <c r="E143" s="135">
        <f t="shared" si="101"/>
        <v>545759.98994</v>
      </c>
      <c r="F143" s="118">
        <f>345129.14367</f>
        <v>345129.14367000002</v>
      </c>
      <c r="G143" s="118">
        <f>255318.78766</f>
        <v>255318.78766</v>
      </c>
      <c r="H143" s="135">
        <f t="shared" si="102"/>
        <v>89810.356010000018</v>
      </c>
      <c r="I143" s="118">
        <f>536509.45919-F143</f>
        <v>191380.31551999995</v>
      </c>
      <c r="J143" s="118">
        <f>381056.36858-G143</f>
        <v>125737.58092000001</v>
      </c>
      <c r="K143" s="135">
        <f t="shared" si="103"/>
        <v>65642.734599999938</v>
      </c>
      <c r="L143" s="118">
        <v>2458803.8533600001</v>
      </c>
      <c r="M143" s="118">
        <v>1829124.8533600001</v>
      </c>
      <c r="N143" s="135">
        <f t="shared" si="104"/>
        <v>629679</v>
      </c>
      <c r="O143" s="26">
        <v>2463134.6028499999</v>
      </c>
      <c r="P143" s="26">
        <v>1833455.6028499999</v>
      </c>
      <c r="Q143" s="135">
        <f t="shared" si="105"/>
        <v>629679</v>
      </c>
      <c r="R143" s="19">
        <f t="shared" si="100"/>
        <v>1.1537654126481971</v>
      </c>
      <c r="S143" s="26">
        <v>377729.91574000003</v>
      </c>
      <c r="T143" s="26">
        <v>250305.46750999999</v>
      </c>
      <c r="U143" s="135">
        <f t="shared" si="106"/>
        <v>127424.44823000004</v>
      </c>
      <c r="V143" s="26">
        <v>122844.3</v>
      </c>
      <c r="W143" s="26">
        <f>101841.2+1581</f>
        <v>103422.2</v>
      </c>
      <c r="X143" s="135">
        <f t="shared" si="107"/>
        <v>19422.100000000006</v>
      </c>
      <c r="Y143" s="136">
        <f t="shared" si="108"/>
        <v>2463134.6028499999</v>
      </c>
      <c r="Z143" s="136">
        <f t="shared" si="109"/>
        <v>1833455.6028499999</v>
      </c>
      <c r="AA143" s="135">
        <f t="shared" si="110"/>
        <v>629679</v>
      </c>
      <c r="AB143" s="19">
        <f t="shared" si="80"/>
        <v>1.1537654126481971</v>
      </c>
    </row>
    <row r="144" spans="1:28" x14ac:dyDescent="0.25">
      <c r="A144" s="81"/>
      <c r="B144" s="83" t="s">
        <v>167</v>
      </c>
      <c r="C144" s="26">
        <v>314034.41052999999</v>
      </c>
      <c r="D144" s="26">
        <v>205208.47227999999</v>
      </c>
      <c r="E144" s="135">
        <f t="shared" si="101"/>
        <v>108825.93825000001</v>
      </c>
      <c r="F144" s="118">
        <f>41408.30904</f>
        <v>41408.30904</v>
      </c>
      <c r="G144" s="118">
        <f>26134.825</f>
        <v>26134.825000000001</v>
      </c>
      <c r="H144" s="135">
        <f t="shared" si="102"/>
        <v>15273.484039999999</v>
      </c>
      <c r="I144" s="118">
        <f>66700.85054-F144</f>
        <v>25292.541499999999</v>
      </c>
      <c r="J144" s="118">
        <f>34846.432-G144</f>
        <v>8711.607</v>
      </c>
      <c r="K144" s="135">
        <f t="shared" si="103"/>
        <v>16580.934499999999</v>
      </c>
      <c r="L144" s="118">
        <v>181242.02799999999</v>
      </c>
      <c r="M144" s="118">
        <v>63723.328000000001</v>
      </c>
      <c r="N144" s="135">
        <f t="shared" si="104"/>
        <v>117518.69999999998</v>
      </c>
      <c r="O144" s="26">
        <v>196062.02799999999</v>
      </c>
      <c r="P144" s="26">
        <v>78543.327999999994</v>
      </c>
      <c r="Q144" s="135">
        <f t="shared" si="105"/>
        <v>117518.7</v>
      </c>
      <c r="R144" s="19">
        <f t="shared" si="100"/>
        <v>1.0798776641836119</v>
      </c>
      <c r="S144" s="26">
        <v>33301.966009999996</v>
      </c>
      <c r="T144" s="26">
        <v>10596.4</v>
      </c>
      <c r="U144" s="135">
        <f t="shared" si="106"/>
        <v>22705.566009999995</v>
      </c>
      <c r="V144" s="26">
        <v>12412.3</v>
      </c>
      <c r="W144" s="26">
        <v>3745.6</v>
      </c>
      <c r="X144" s="135">
        <f t="shared" si="107"/>
        <v>8666.6999999999989</v>
      </c>
      <c r="Y144" s="136">
        <f>O144+2.898</f>
        <v>196064.92599999998</v>
      </c>
      <c r="Z144" s="136">
        <f>P144+2.898</f>
        <v>78546.225999999995</v>
      </c>
      <c r="AA144" s="135">
        <f t="shared" si="110"/>
        <v>117518.69999999998</v>
      </c>
      <c r="AB144" s="19">
        <f t="shared" si="80"/>
        <v>1.0798776641836119</v>
      </c>
    </row>
    <row r="145" spans="1:28" x14ac:dyDescent="0.25">
      <c r="A145" s="81"/>
      <c r="B145" s="83" t="s">
        <v>168</v>
      </c>
      <c r="C145" s="26"/>
      <c r="D145" s="26"/>
      <c r="E145" s="135">
        <f t="shared" si="101"/>
        <v>0</v>
      </c>
      <c r="F145" s="118"/>
      <c r="G145" s="118"/>
      <c r="H145" s="135">
        <f t="shared" si="102"/>
        <v>0</v>
      </c>
      <c r="I145" s="118"/>
      <c r="J145" s="118"/>
      <c r="K145" s="135">
        <f t="shared" si="103"/>
        <v>0</v>
      </c>
      <c r="L145" s="118"/>
      <c r="M145" s="118"/>
      <c r="N145" s="135">
        <f t="shared" si="104"/>
        <v>0</v>
      </c>
      <c r="O145" s="26"/>
      <c r="P145" s="26"/>
      <c r="Q145" s="135">
        <f t="shared" si="105"/>
        <v>0</v>
      </c>
      <c r="R145" s="19" t="e">
        <f t="shared" si="100"/>
        <v>#DIV/0!</v>
      </c>
      <c r="S145" s="26"/>
      <c r="T145" s="26"/>
      <c r="U145" s="135">
        <f t="shared" si="106"/>
        <v>0</v>
      </c>
      <c r="V145" s="26"/>
      <c r="W145" s="26"/>
      <c r="X145" s="135">
        <f t="shared" si="107"/>
        <v>0</v>
      </c>
      <c r="Y145" s="136">
        <f t="shared" si="108"/>
        <v>0</v>
      </c>
      <c r="Z145" s="136">
        <f t="shared" si="109"/>
        <v>0</v>
      </c>
      <c r="AA145" s="135">
        <f t="shared" si="110"/>
        <v>0</v>
      </c>
      <c r="AB145" s="19" t="e">
        <f t="shared" si="80"/>
        <v>#DIV/0!</v>
      </c>
    </row>
    <row r="146" spans="1:28" x14ac:dyDescent="0.25">
      <c r="A146" s="81"/>
      <c r="B146" s="83" t="s">
        <v>169</v>
      </c>
      <c r="C146" s="26">
        <v>115988.21032</v>
      </c>
      <c r="D146" s="26">
        <v>109430.46756999999</v>
      </c>
      <c r="E146" s="135">
        <f t="shared" si="101"/>
        <v>6557.7427500000049</v>
      </c>
      <c r="F146" s="118">
        <f>25879.39929</f>
        <v>25879.399290000001</v>
      </c>
      <c r="G146" s="118">
        <f>24824.56114</f>
        <v>24824.561140000002</v>
      </c>
      <c r="H146" s="135">
        <f t="shared" si="102"/>
        <v>1054.8381499999996</v>
      </c>
      <c r="I146" s="118">
        <f>33732.24743-F146</f>
        <v>7852.8481400000019</v>
      </c>
      <c r="J146" s="118">
        <f>32131.75882-G146</f>
        <v>7307.1976799999975</v>
      </c>
      <c r="K146" s="135">
        <f t="shared" si="103"/>
        <v>545.65046000000439</v>
      </c>
      <c r="L146" s="118">
        <v>135376.64051999999</v>
      </c>
      <c r="M146" s="118">
        <v>128242.83500000001</v>
      </c>
      <c r="N146" s="135">
        <f t="shared" si="104"/>
        <v>7133.8055199999799</v>
      </c>
      <c r="O146" s="26">
        <v>135144.64051999999</v>
      </c>
      <c r="P146" s="26">
        <v>128242.83500000001</v>
      </c>
      <c r="Q146" s="135">
        <f t="shared" si="105"/>
        <v>6901.8055199999799</v>
      </c>
      <c r="R146" s="19">
        <f t="shared" si="100"/>
        <v>1.0524666463929184</v>
      </c>
      <c r="S146" s="26">
        <v>28609.194159999999</v>
      </c>
      <c r="T146" s="26">
        <v>27534.65598</v>
      </c>
      <c r="U146" s="135">
        <f t="shared" si="106"/>
        <v>1074.5381799999996</v>
      </c>
      <c r="V146" s="26">
        <v>9541.2000000000007</v>
      </c>
      <c r="W146" s="26">
        <v>9177.4</v>
      </c>
      <c r="X146" s="135">
        <f t="shared" si="107"/>
        <v>363.80000000000109</v>
      </c>
      <c r="Y146" s="136">
        <f t="shared" si="108"/>
        <v>135144.64051999999</v>
      </c>
      <c r="Z146" s="136">
        <f t="shared" si="109"/>
        <v>128242.83500000001</v>
      </c>
      <c r="AA146" s="135">
        <f t="shared" si="110"/>
        <v>6901.8055199999799</v>
      </c>
      <c r="AB146" s="19">
        <f t="shared" si="80"/>
        <v>1.0524666463929184</v>
      </c>
    </row>
    <row r="147" spans="1:28" x14ac:dyDescent="0.25">
      <c r="A147" s="81"/>
      <c r="B147" s="83" t="s">
        <v>170</v>
      </c>
      <c r="C147" s="26">
        <v>134778.38602999999</v>
      </c>
      <c r="D147" s="26">
        <v>45512.788079999998</v>
      </c>
      <c r="E147" s="135">
        <f t="shared" si="101"/>
        <v>89265.597949999996</v>
      </c>
      <c r="F147" s="118">
        <f>19582.15069</f>
        <v>19582.150689999999</v>
      </c>
      <c r="G147" s="118">
        <f>7731.20625</f>
        <v>7731.2062500000002</v>
      </c>
      <c r="H147" s="135">
        <f t="shared" si="102"/>
        <v>11850.944439999999</v>
      </c>
      <c r="I147" s="118">
        <f>31358.31086-F147</f>
        <v>11776.160170000003</v>
      </c>
      <c r="J147" s="118">
        <f>10711.7535-G147</f>
        <v>2980.5472500000005</v>
      </c>
      <c r="K147" s="135">
        <f t="shared" si="103"/>
        <v>8795.6129200000032</v>
      </c>
      <c r="L147" s="118">
        <v>116288.1</v>
      </c>
      <c r="M147" s="118">
        <v>18628.8</v>
      </c>
      <c r="N147" s="135">
        <f t="shared" si="104"/>
        <v>97659.3</v>
      </c>
      <c r="O147" s="26">
        <v>116288.1</v>
      </c>
      <c r="P147" s="26">
        <v>18628.8</v>
      </c>
      <c r="Q147" s="135">
        <f t="shared" si="105"/>
        <v>97659.3</v>
      </c>
      <c r="R147" s="19">
        <f t="shared" si="100"/>
        <v>1.0940306483434026</v>
      </c>
      <c r="S147" s="26">
        <v>37210.742230000003</v>
      </c>
      <c r="T147" s="26">
        <v>2965.6332000000002</v>
      </c>
      <c r="U147" s="135">
        <f t="shared" si="106"/>
        <v>34245.109030000007</v>
      </c>
      <c r="V147" s="105">
        <v>12415.3</v>
      </c>
      <c r="W147" s="26">
        <v>912.3</v>
      </c>
      <c r="X147" s="135">
        <f t="shared" si="107"/>
        <v>11503</v>
      </c>
      <c r="Y147" s="136">
        <f t="shared" si="108"/>
        <v>116288.1</v>
      </c>
      <c r="Z147" s="136">
        <f t="shared" si="109"/>
        <v>18628.8</v>
      </c>
      <c r="AA147" s="135">
        <f t="shared" si="110"/>
        <v>97659.3</v>
      </c>
      <c r="AB147" s="19">
        <f t="shared" si="80"/>
        <v>1.0940306483434026</v>
      </c>
    </row>
    <row r="148" spans="1:28" x14ac:dyDescent="0.25">
      <c r="A148" s="81"/>
      <c r="B148" s="83" t="s">
        <v>171</v>
      </c>
      <c r="C148" s="26">
        <v>10370.905940000001</v>
      </c>
      <c r="D148" s="26">
        <v>190.75594000000001</v>
      </c>
      <c r="E148" s="135">
        <f t="shared" si="101"/>
        <v>10180.150000000001</v>
      </c>
      <c r="F148" s="118">
        <f>1755.80133</f>
        <v>1755.80133</v>
      </c>
      <c r="G148" s="118"/>
      <c r="H148" s="135">
        <f t="shared" si="102"/>
        <v>1755.80133</v>
      </c>
      <c r="I148" s="118">
        <f>3913.67394-F148</f>
        <v>2157.8726100000003</v>
      </c>
      <c r="J148" s="118">
        <f>0</f>
        <v>0</v>
      </c>
      <c r="K148" s="135">
        <f t="shared" si="103"/>
        <v>2157.8726100000003</v>
      </c>
      <c r="L148" s="118">
        <v>11490.2</v>
      </c>
      <c r="M148" s="118">
        <v>0</v>
      </c>
      <c r="N148" s="135">
        <f t="shared" si="104"/>
        <v>11490.2</v>
      </c>
      <c r="O148" s="26">
        <v>11490.2</v>
      </c>
      <c r="P148" s="26">
        <v>0</v>
      </c>
      <c r="Q148" s="135">
        <f t="shared" si="105"/>
        <v>11490.2</v>
      </c>
      <c r="R148" s="19">
        <f t="shared" si="100"/>
        <v>1.1286867089384733</v>
      </c>
      <c r="S148" s="26">
        <v>2800</v>
      </c>
      <c r="T148" s="26">
        <v>0</v>
      </c>
      <c r="U148" s="135">
        <f t="shared" si="106"/>
        <v>2800</v>
      </c>
      <c r="V148" s="26">
        <v>2000</v>
      </c>
      <c r="W148" s="26"/>
      <c r="X148" s="135">
        <f t="shared" si="107"/>
        <v>2000</v>
      </c>
      <c r="Y148" s="136">
        <f t="shared" si="108"/>
        <v>11490.2</v>
      </c>
      <c r="Z148" s="136">
        <f t="shared" si="109"/>
        <v>0</v>
      </c>
      <c r="AA148" s="135">
        <f t="shared" si="110"/>
        <v>11490.2</v>
      </c>
      <c r="AB148" s="19">
        <f t="shared" si="80"/>
        <v>1.1286867089384733</v>
      </c>
    </row>
    <row r="149" spans="1:28" x14ac:dyDescent="0.25">
      <c r="A149" s="81"/>
      <c r="B149" s="83" t="s">
        <v>172</v>
      </c>
      <c r="C149" s="26">
        <v>46.137569999999997</v>
      </c>
      <c r="D149" s="26">
        <v>0</v>
      </c>
      <c r="E149" s="135">
        <f t="shared" si="101"/>
        <v>46.137569999999997</v>
      </c>
      <c r="F149" s="118"/>
      <c r="G149" s="118"/>
      <c r="H149" s="135">
        <f t="shared" si="102"/>
        <v>0</v>
      </c>
      <c r="I149" s="118"/>
      <c r="J149" s="118"/>
      <c r="K149" s="135">
        <f t="shared" si="103"/>
        <v>0</v>
      </c>
      <c r="L149" s="118">
        <v>140</v>
      </c>
      <c r="M149" s="118">
        <v>0</v>
      </c>
      <c r="N149" s="135">
        <f t="shared" si="104"/>
        <v>140</v>
      </c>
      <c r="O149" s="26">
        <v>140</v>
      </c>
      <c r="P149" s="26">
        <v>0</v>
      </c>
      <c r="Q149" s="135">
        <f t="shared" si="105"/>
        <v>140</v>
      </c>
      <c r="R149" s="19">
        <f t="shared" si="100"/>
        <v>3.0344034156978794</v>
      </c>
      <c r="S149" s="26">
        <v>0</v>
      </c>
      <c r="T149" s="26">
        <v>0</v>
      </c>
      <c r="U149" s="135">
        <f t="shared" si="106"/>
        <v>0</v>
      </c>
      <c r="V149" s="26"/>
      <c r="W149" s="26"/>
      <c r="X149" s="135">
        <f t="shared" si="107"/>
        <v>0</v>
      </c>
      <c r="Y149" s="136">
        <f t="shared" si="108"/>
        <v>140</v>
      </c>
      <c r="Z149" s="136">
        <f t="shared" si="109"/>
        <v>0</v>
      </c>
      <c r="AA149" s="135">
        <f t="shared" si="110"/>
        <v>140</v>
      </c>
      <c r="AB149" s="19">
        <f t="shared" si="80"/>
        <v>3.0344034156978794</v>
      </c>
    </row>
    <row r="150" spans="1:28" x14ac:dyDescent="0.25">
      <c r="A150" s="81"/>
      <c r="B150" s="83" t="s">
        <v>173</v>
      </c>
      <c r="C150" s="26"/>
      <c r="D150" s="26"/>
      <c r="E150" s="135">
        <f t="shared" si="101"/>
        <v>0</v>
      </c>
      <c r="F150" s="118"/>
      <c r="G150" s="118"/>
      <c r="H150" s="135">
        <f t="shared" si="102"/>
        <v>0</v>
      </c>
      <c r="I150" s="118"/>
      <c r="J150" s="118"/>
      <c r="K150" s="135">
        <f t="shared" si="103"/>
        <v>0</v>
      </c>
      <c r="L150" s="118"/>
      <c r="M150" s="118"/>
      <c r="N150" s="135">
        <f t="shared" si="104"/>
        <v>0</v>
      </c>
      <c r="O150" s="26"/>
      <c r="P150" s="26"/>
      <c r="Q150" s="135"/>
      <c r="R150" s="19" t="e">
        <f t="shared" si="100"/>
        <v>#DIV/0!</v>
      </c>
      <c r="S150" s="26"/>
      <c r="T150" s="26"/>
      <c r="U150" s="135">
        <f t="shared" si="106"/>
        <v>0</v>
      </c>
      <c r="V150" s="26"/>
      <c r="W150" s="26"/>
      <c r="X150" s="135"/>
      <c r="Y150" s="136"/>
      <c r="Z150" s="136"/>
      <c r="AA150" s="135">
        <f t="shared" si="110"/>
        <v>0</v>
      </c>
      <c r="AB150" s="19" t="e">
        <f t="shared" si="80"/>
        <v>#DIV/0!</v>
      </c>
    </row>
    <row r="151" spans="1:28" x14ac:dyDescent="0.25">
      <c r="A151" s="81"/>
      <c r="B151" s="84" t="s">
        <v>174</v>
      </c>
      <c r="C151" s="27">
        <f>SUM(C137:C150)</f>
        <v>3747292.3447799999</v>
      </c>
      <c r="D151" s="27">
        <f t="shared" ref="D151:AA151" si="111">SUM(D137:D150)</f>
        <v>2187765.0036299997</v>
      </c>
      <c r="E151" s="28">
        <f t="shared" si="111"/>
        <v>1559527.34115</v>
      </c>
      <c r="F151" s="27">
        <f t="shared" si="111"/>
        <v>575204.65351000009</v>
      </c>
      <c r="G151" s="27">
        <f t="shared" si="111"/>
        <v>343180.60852000001</v>
      </c>
      <c r="H151" s="27">
        <f t="shared" si="111"/>
        <v>232024.04498999999</v>
      </c>
      <c r="I151" s="27">
        <f t="shared" si="111"/>
        <v>315367.34921999997</v>
      </c>
      <c r="J151" s="27">
        <f t="shared" si="111"/>
        <v>154683.09007999999</v>
      </c>
      <c r="K151" s="27">
        <f t="shared" si="111"/>
        <v>160684.25913999995</v>
      </c>
      <c r="L151" s="27">
        <f t="shared" si="111"/>
        <v>4109661.7452000002</v>
      </c>
      <c r="M151" s="27">
        <f t="shared" si="111"/>
        <v>2473144.59968</v>
      </c>
      <c r="N151" s="27">
        <f t="shared" si="111"/>
        <v>1636517.14552</v>
      </c>
      <c r="O151" s="27">
        <f t="shared" si="111"/>
        <v>4225670.92777</v>
      </c>
      <c r="P151" s="27">
        <f t="shared" si="111"/>
        <v>2589153.7822499997</v>
      </c>
      <c r="Q151" s="27">
        <f t="shared" si="111"/>
        <v>1636517.14552</v>
      </c>
      <c r="R151" s="19">
        <f t="shared" si="100"/>
        <v>1.0493673963505041</v>
      </c>
      <c r="S151" s="27">
        <f t="shared" si="111"/>
        <v>623625.91635999992</v>
      </c>
      <c r="T151" s="27">
        <f t="shared" si="111"/>
        <v>299167.29452999996</v>
      </c>
      <c r="U151" s="27">
        <f t="shared" si="111"/>
        <v>324458.62183000002</v>
      </c>
      <c r="V151" s="27">
        <f t="shared" si="111"/>
        <v>316436.39999999997</v>
      </c>
      <c r="W151" s="27">
        <f t="shared" si="111"/>
        <v>224337.19099999999</v>
      </c>
      <c r="X151" s="27">
        <f t="shared" si="111"/>
        <v>92099.209000000017</v>
      </c>
      <c r="Y151" s="27">
        <f t="shared" si="111"/>
        <v>4256722.6793799996</v>
      </c>
      <c r="Z151" s="27">
        <f t="shared" si="111"/>
        <v>2589408.8598299995</v>
      </c>
      <c r="AA151" s="27">
        <f t="shared" si="111"/>
        <v>1667313.8195499999</v>
      </c>
      <c r="AB151" s="19">
        <f t="shared" si="80"/>
        <v>1.0691148372689112</v>
      </c>
    </row>
    <row r="152" spans="1:28" x14ac:dyDescent="0.25">
      <c r="A152" s="81"/>
      <c r="B152" s="84" t="s">
        <v>175</v>
      </c>
      <c r="C152" s="137">
        <f t="shared" ref="C152:Q152" si="112">C105-C151</f>
        <v>0</v>
      </c>
      <c r="D152" s="137">
        <f t="shared" si="112"/>
        <v>0</v>
      </c>
      <c r="E152" s="137">
        <f t="shared" si="112"/>
        <v>0</v>
      </c>
      <c r="F152" s="137">
        <f t="shared" si="112"/>
        <v>0</v>
      </c>
      <c r="G152" s="137">
        <f t="shared" si="112"/>
        <v>0</v>
      </c>
      <c r="H152" s="137">
        <f t="shared" si="112"/>
        <v>0</v>
      </c>
      <c r="I152" s="137">
        <f t="shared" si="112"/>
        <v>0</v>
      </c>
      <c r="J152" s="137">
        <f t="shared" si="112"/>
        <v>0</v>
      </c>
      <c r="K152" s="137">
        <f t="shared" si="112"/>
        <v>0</v>
      </c>
      <c r="L152" s="27">
        <f t="shared" si="112"/>
        <v>0</v>
      </c>
      <c r="M152" s="27">
        <f t="shared" si="112"/>
        <v>0</v>
      </c>
      <c r="N152" s="27">
        <f t="shared" si="112"/>
        <v>0</v>
      </c>
      <c r="O152" s="27">
        <f t="shared" si="112"/>
        <v>0</v>
      </c>
      <c r="P152" s="27">
        <f t="shared" si="112"/>
        <v>0</v>
      </c>
      <c r="Q152" s="27">
        <f t="shared" si="112"/>
        <v>0</v>
      </c>
      <c r="R152" s="138"/>
      <c r="S152" s="27">
        <f t="shared" ref="S152:AA152" si="113">S105-S151</f>
        <v>0</v>
      </c>
      <c r="T152" s="27">
        <f t="shared" si="113"/>
        <v>0</v>
      </c>
      <c r="U152" s="27">
        <f t="shared" si="113"/>
        <v>0</v>
      </c>
      <c r="V152" s="27">
        <f t="shared" si="113"/>
        <v>-3.9999999979045242E-2</v>
      </c>
      <c r="W152" s="27">
        <f t="shared" si="113"/>
        <v>0.20000000001164153</v>
      </c>
      <c r="X152" s="27">
        <f t="shared" si="113"/>
        <v>-0.24000000003434252</v>
      </c>
      <c r="Y152" s="27">
        <f t="shared" si="113"/>
        <v>0</v>
      </c>
      <c r="Z152" s="27">
        <f t="shared" si="113"/>
        <v>0</v>
      </c>
      <c r="AA152" s="27">
        <f t="shared" si="113"/>
        <v>0</v>
      </c>
      <c r="AB152" s="19"/>
    </row>
    <row r="153" spans="1:28" x14ac:dyDescent="0.25">
      <c r="A153" s="76" t="s">
        <v>176</v>
      </c>
      <c r="B153" s="85" t="s">
        <v>177</v>
      </c>
      <c r="C153" s="139"/>
      <c r="D153" s="139"/>
      <c r="E153" s="140"/>
      <c r="F153" s="140"/>
      <c r="G153" s="139"/>
      <c r="H153" s="139"/>
      <c r="I153" s="139"/>
      <c r="J153" s="139"/>
      <c r="K153" s="139"/>
      <c r="L153" s="141"/>
      <c r="M153" s="141"/>
      <c r="N153" s="141"/>
      <c r="O153" s="141"/>
      <c r="P153" s="141"/>
      <c r="Q153" s="141"/>
      <c r="R153" s="138"/>
      <c r="S153" s="142"/>
      <c r="T153" s="141"/>
      <c r="U153" s="141"/>
      <c r="V153" s="142"/>
      <c r="W153" s="141"/>
      <c r="X153" s="141"/>
      <c r="Y153" s="142"/>
      <c r="Z153" s="141"/>
      <c r="AA153" s="141"/>
      <c r="AB153" s="19"/>
    </row>
    <row r="154" spans="1:28" x14ac:dyDescent="0.25">
      <c r="A154" s="15" t="s">
        <v>178</v>
      </c>
      <c r="B154" s="25" t="s">
        <v>179</v>
      </c>
      <c r="C154" s="139" t="s">
        <v>180</v>
      </c>
      <c r="D154" s="140" t="s">
        <v>180</v>
      </c>
      <c r="E154" s="140" t="s">
        <v>180</v>
      </c>
      <c r="F154" s="139" t="s">
        <v>180</v>
      </c>
      <c r="G154" s="139" t="s">
        <v>180</v>
      </c>
      <c r="H154" s="139" t="s">
        <v>180</v>
      </c>
      <c r="I154" s="139" t="s">
        <v>180</v>
      </c>
      <c r="J154" s="139" t="s">
        <v>180</v>
      </c>
      <c r="K154" s="141" t="s">
        <v>180</v>
      </c>
      <c r="L154" s="141" t="s">
        <v>180</v>
      </c>
      <c r="M154" s="141" t="s">
        <v>180</v>
      </c>
      <c r="N154" s="141" t="s">
        <v>180</v>
      </c>
      <c r="O154" s="141" t="s">
        <v>180</v>
      </c>
      <c r="P154" s="141" t="s">
        <v>180</v>
      </c>
      <c r="Q154" s="138" t="s">
        <v>180</v>
      </c>
      <c r="R154" s="139" t="s">
        <v>180</v>
      </c>
      <c r="S154" s="140" t="s">
        <v>180</v>
      </c>
      <c r="T154" s="140" t="s">
        <v>180</v>
      </c>
      <c r="U154" s="139" t="s">
        <v>180</v>
      </c>
      <c r="V154" s="139" t="s">
        <v>180</v>
      </c>
      <c r="W154" s="139" t="s">
        <v>180</v>
      </c>
      <c r="X154" s="139" t="s">
        <v>180</v>
      </c>
      <c r="Y154" s="139" t="s">
        <v>180</v>
      </c>
      <c r="Z154" s="141" t="s">
        <v>180</v>
      </c>
      <c r="AA154" s="141" t="s">
        <v>180</v>
      </c>
      <c r="AB154" s="141" t="s">
        <v>180</v>
      </c>
    </row>
    <row r="155" spans="1:28" x14ac:dyDescent="0.25">
      <c r="A155" s="15"/>
      <c r="B155" s="34" t="s">
        <v>181</v>
      </c>
      <c r="C155" s="35">
        <v>185987</v>
      </c>
      <c r="D155" s="35">
        <v>166971</v>
      </c>
      <c r="E155" s="36">
        <f t="shared" ref="E155:E156" si="114">C155-D155</f>
        <v>19016</v>
      </c>
      <c r="F155" s="35">
        <v>4508</v>
      </c>
      <c r="G155" s="35">
        <v>0</v>
      </c>
      <c r="H155" s="36">
        <f t="shared" ref="H155:H156" si="115">F155-G155</f>
        <v>4508</v>
      </c>
      <c r="I155" s="35">
        <f>4508.36-F155</f>
        <v>0.35999999999967258</v>
      </c>
      <c r="J155" s="35">
        <v>0</v>
      </c>
      <c r="K155" s="36">
        <f t="shared" ref="K155:K156" si="116">I155-J155</f>
        <v>0.35999999999967258</v>
      </c>
      <c r="L155" s="26">
        <v>68417.955950000003</v>
      </c>
      <c r="M155" s="35">
        <f>L155-L15</f>
        <v>68417.955950000003</v>
      </c>
      <c r="N155" s="36">
        <f t="shared" ref="N155:N156" si="117">L155-M155</f>
        <v>0</v>
      </c>
      <c r="O155" s="26">
        <v>68417.955950000003</v>
      </c>
      <c r="P155" s="35">
        <v>48840</v>
      </c>
      <c r="Q155" s="36">
        <f t="shared" ref="Q155:Q156" si="118">O155-P155</f>
        <v>19577.955950000003</v>
      </c>
      <c r="R155" s="37">
        <f t="shared" ref="R155:R156" si="119">Q155/E155</f>
        <v>1.0295517432688264</v>
      </c>
      <c r="S155" s="35">
        <v>4545.2</v>
      </c>
      <c r="T155" s="35"/>
      <c r="U155" s="36">
        <f t="shared" ref="U155:U156" si="120">S155-T155</f>
        <v>4545.2</v>
      </c>
      <c r="V155" s="35">
        <v>1630.63</v>
      </c>
      <c r="W155" s="35"/>
      <c r="X155" s="36">
        <f t="shared" ref="X155:X156" si="121">V155-W155</f>
        <v>1630.63</v>
      </c>
      <c r="Y155" s="35">
        <v>69030.84</v>
      </c>
      <c r="Z155" s="35">
        <v>48840</v>
      </c>
      <c r="AA155" s="36">
        <f t="shared" ref="AA155:AA156" si="122">Y155-Z155</f>
        <v>20190.839999999997</v>
      </c>
      <c r="AB155" s="37">
        <f t="shared" ref="AB155:AB156" si="123">AA155/E155</f>
        <v>1.0617816575515353</v>
      </c>
    </row>
    <row r="156" spans="1:28" x14ac:dyDescent="0.25">
      <c r="A156" s="15"/>
      <c r="B156" s="86" t="s">
        <v>182</v>
      </c>
      <c r="C156" s="35">
        <v>185563</v>
      </c>
      <c r="D156" s="35">
        <v>166970</v>
      </c>
      <c r="E156" s="36">
        <f t="shared" si="114"/>
        <v>18593</v>
      </c>
      <c r="F156" s="35">
        <v>0</v>
      </c>
      <c r="G156" s="35"/>
      <c r="H156" s="36">
        <f t="shared" si="115"/>
        <v>0</v>
      </c>
      <c r="I156" s="35">
        <v>0</v>
      </c>
      <c r="J156" s="35">
        <v>0</v>
      </c>
      <c r="K156" s="36">
        <f t="shared" si="116"/>
        <v>0</v>
      </c>
      <c r="L156" s="26">
        <f>L155</f>
        <v>68417.955950000003</v>
      </c>
      <c r="M156" s="35">
        <f>M155</f>
        <v>68417.955950000003</v>
      </c>
      <c r="N156" s="36">
        <f t="shared" si="117"/>
        <v>0</v>
      </c>
      <c r="O156" s="26">
        <f>O155</f>
        <v>68417.955950000003</v>
      </c>
      <c r="P156" s="35">
        <f>P155</f>
        <v>48840</v>
      </c>
      <c r="Q156" s="36">
        <f t="shared" si="118"/>
        <v>19577.955950000003</v>
      </c>
      <c r="R156" s="37">
        <f t="shared" si="119"/>
        <v>1.0529745576292155</v>
      </c>
      <c r="S156" s="35">
        <v>1016.44</v>
      </c>
      <c r="T156" s="35"/>
      <c r="U156" s="36">
        <f t="shared" si="120"/>
        <v>1016.44</v>
      </c>
      <c r="V156" s="35"/>
      <c r="W156" s="35"/>
      <c r="X156" s="36">
        <f t="shared" si="121"/>
        <v>0</v>
      </c>
      <c r="Y156" s="35">
        <v>69030.84</v>
      </c>
      <c r="Z156" s="35">
        <v>48840.28</v>
      </c>
      <c r="AA156" s="36">
        <f t="shared" si="122"/>
        <v>20190.559999999998</v>
      </c>
      <c r="AB156" s="37">
        <f t="shared" si="123"/>
        <v>1.0859226590652395</v>
      </c>
    </row>
    <row r="157" spans="1:28" x14ac:dyDescent="0.25">
      <c r="A157" s="15" t="s">
        <v>183</v>
      </c>
      <c r="B157" s="87" t="s">
        <v>184</v>
      </c>
      <c r="C157" s="143">
        <f>C158</f>
        <v>43160</v>
      </c>
      <c r="D157" s="139" t="s">
        <v>180</v>
      </c>
      <c r="E157" s="140" t="s">
        <v>180</v>
      </c>
      <c r="F157" s="144">
        <f>F158+F159+F160</f>
        <v>53950</v>
      </c>
      <c r="G157" s="139" t="s">
        <v>180</v>
      </c>
      <c r="H157" s="139" t="s">
        <v>180</v>
      </c>
      <c r="I157" s="143">
        <f>I158+I159</f>
        <v>-10790</v>
      </c>
      <c r="J157" s="139" t="s">
        <v>180</v>
      </c>
      <c r="K157" s="139" t="s">
        <v>180</v>
      </c>
      <c r="L157" s="141" t="s">
        <v>180</v>
      </c>
      <c r="M157" s="141" t="s">
        <v>180</v>
      </c>
      <c r="N157" s="141" t="s">
        <v>180</v>
      </c>
      <c r="O157" s="141" t="s">
        <v>180</v>
      </c>
      <c r="P157" s="141" t="s">
        <v>180</v>
      </c>
      <c r="Q157" s="141" t="s">
        <v>180</v>
      </c>
      <c r="R157" s="138" t="s">
        <v>180</v>
      </c>
      <c r="S157" s="142"/>
      <c r="T157" s="141" t="s">
        <v>180</v>
      </c>
      <c r="U157" s="141" t="s">
        <v>180</v>
      </c>
      <c r="V157" s="142"/>
      <c r="W157" s="141" t="s">
        <v>180</v>
      </c>
      <c r="X157" s="141" t="s">
        <v>180</v>
      </c>
      <c r="Y157" s="142">
        <f>Y158+Y159+Y160</f>
        <v>158360.01751999999</v>
      </c>
      <c r="Z157" s="141" t="s">
        <v>180</v>
      </c>
      <c r="AA157" s="141" t="s">
        <v>180</v>
      </c>
      <c r="AB157" s="19">
        <f>Y157/C157</f>
        <v>3.6691384967562555</v>
      </c>
    </row>
    <row r="158" spans="1:28" x14ac:dyDescent="0.25">
      <c r="A158" s="15"/>
      <c r="B158" s="87" t="s">
        <v>185</v>
      </c>
      <c r="C158" s="143">
        <v>43160</v>
      </c>
      <c r="D158" s="139" t="s">
        <v>180</v>
      </c>
      <c r="E158" s="140" t="s">
        <v>180</v>
      </c>
      <c r="F158" s="144">
        <v>53950</v>
      </c>
      <c r="G158" s="139" t="s">
        <v>180</v>
      </c>
      <c r="H158" s="139" t="s">
        <v>180</v>
      </c>
      <c r="I158" s="143">
        <f>43160-F158</f>
        <v>-10790</v>
      </c>
      <c r="J158" s="139" t="s">
        <v>180</v>
      </c>
      <c r="K158" s="139" t="s">
        <v>180</v>
      </c>
      <c r="L158" s="141" t="s">
        <v>180</v>
      </c>
      <c r="M158" s="141" t="s">
        <v>180</v>
      </c>
      <c r="N158" s="141" t="s">
        <v>180</v>
      </c>
      <c r="O158" s="141" t="s">
        <v>180</v>
      </c>
      <c r="P158" s="141" t="s">
        <v>180</v>
      </c>
      <c r="Q158" s="141" t="s">
        <v>180</v>
      </c>
      <c r="R158" s="138" t="s">
        <v>180</v>
      </c>
      <c r="S158" s="142"/>
      <c r="T158" s="141" t="s">
        <v>180</v>
      </c>
      <c r="U158" s="141" t="s">
        <v>180</v>
      </c>
      <c r="V158" s="142"/>
      <c r="W158" s="141" t="s">
        <v>180</v>
      </c>
      <c r="X158" s="141" t="s">
        <v>180</v>
      </c>
      <c r="Y158" s="26">
        <f>C158+Y111</f>
        <v>32370</v>
      </c>
      <c r="Z158" s="141" t="s">
        <v>180</v>
      </c>
      <c r="AA158" s="141" t="s">
        <v>180</v>
      </c>
      <c r="AB158" s="19">
        <f t="shared" ref="AB158:AB170" si="124">Y158/C158</f>
        <v>0.75</v>
      </c>
    </row>
    <row r="159" spans="1:28" x14ac:dyDescent="0.25">
      <c r="A159" s="15"/>
      <c r="B159" s="87" t="s">
        <v>186</v>
      </c>
      <c r="C159" s="143"/>
      <c r="D159" s="139" t="s">
        <v>180</v>
      </c>
      <c r="E159" s="140" t="s">
        <v>180</v>
      </c>
      <c r="F159" s="144">
        <v>0</v>
      </c>
      <c r="G159" s="139" t="s">
        <v>180</v>
      </c>
      <c r="H159" s="139" t="s">
        <v>180</v>
      </c>
      <c r="I159" s="143">
        <v>0</v>
      </c>
      <c r="J159" s="139" t="s">
        <v>180</v>
      </c>
      <c r="K159" s="139" t="s">
        <v>180</v>
      </c>
      <c r="L159" s="141" t="s">
        <v>180</v>
      </c>
      <c r="M159" s="141" t="s">
        <v>180</v>
      </c>
      <c r="N159" s="141" t="s">
        <v>180</v>
      </c>
      <c r="O159" s="141" t="s">
        <v>180</v>
      </c>
      <c r="P159" s="141" t="s">
        <v>180</v>
      </c>
      <c r="Q159" s="141" t="s">
        <v>180</v>
      </c>
      <c r="R159" s="138" t="s">
        <v>180</v>
      </c>
      <c r="S159" s="142"/>
      <c r="T159" s="141" t="s">
        <v>180</v>
      </c>
      <c r="U159" s="141" t="s">
        <v>180</v>
      </c>
      <c r="V159" s="142"/>
      <c r="W159" s="141" t="s">
        <v>180</v>
      </c>
      <c r="X159" s="141" t="s">
        <v>180</v>
      </c>
      <c r="Y159" s="26">
        <f>C159+Y116</f>
        <v>125990.01751999999</v>
      </c>
      <c r="Z159" s="141" t="s">
        <v>180</v>
      </c>
      <c r="AA159" s="141" t="s">
        <v>180</v>
      </c>
      <c r="AB159" s="19" t="e">
        <f t="shared" si="124"/>
        <v>#DIV/0!</v>
      </c>
    </row>
    <row r="160" spans="1:28" x14ac:dyDescent="0.25">
      <c r="A160" s="15"/>
      <c r="B160" s="87" t="s">
        <v>187</v>
      </c>
      <c r="C160" s="143"/>
      <c r="D160" s="139" t="s">
        <v>180</v>
      </c>
      <c r="E160" s="140" t="s">
        <v>180</v>
      </c>
      <c r="F160" s="144">
        <v>0</v>
      </c>
      <c r="G160" s="139" t="s">
        <v>180</v>
      </c>
      <c r="H160" s="139" t="s">
        <v>180</v>
      </c>
      <c r="I160" s="143">
        <v>0</v>
      </c>
      <c r="J160" s="139" t="s">
        <v>180</v>
      </c>
      <c r="K160" s="139" t="s">
        <v>180</v>
      </c>
      <c r="L160" s="141" t="s">
        <v>180</v>
      </c>
      <c r="M160" s="141" t="s">
        <v>180</v>
      </c>
      <c r="N160" s="141" t="s">
        <v>180</v>
      </c>
      <c r="O160" s="141" t="s">
        <v>180</v>
      </c>
      <c r="P160" s="141" t="s">
        <v>180</v>
      </c>
      <c r="Q160" s="141" t="s">
        <v>180</v>
      </c>
      <c r="R160" s="138" t="s">
        <v>180</v>
      </c>
      <c r="S160" s="142"/>
      <c r="T160" s="141" t="s">
        <v>180</v>
      </c>
      <c r="U160" s="141" t="s">
        <v>180</v>
      </c>
      <c r="V160" s="142"/>
      <c r="W160" s="141" t="s">
        <v>180</v>
      </c>
      <c r="X160" s="141" t="s">
        <v>180</v>
      </c>
      <c r="Y160" s="142"/>
      <c r="Z160" s="141" t="s">
        <v>180</v>
      </c>
      <c r="AA160" s="141" t="s">
        <v>180</v>
      </c>
      <c r="AB160" s="19" t="e">
        <f t="shared" si="124"/>
        <v>#DIV/0!</v>
      </c>
    </row>
    <row r="161" spans="1:28" ht="56.25" customHeight="1" x14ac:dyDescent="0.25">
      <c r="A161" s="15" t="s">
        <v>188</v>
      </c>
      <c r="B161" s="88" t="s">
        <v>207</v>
      </c>
      <c r="C161" s="117">
        <v>80.8</v>
      </c>
      <c r="D161" s="139" t="s">
        <v>180</v>
      </c>
      <c r="E161" s="140" t="s">
        <v>180</v>
      </c>
      <c r="F161" s="143">
        <v>85</v>
      </c>
      <c r="G161" s="139" t="s">
        <v>180</v>
      </c>
      <c r="H161" s="139" t="s">
        <v>180</v>
      </c>
      <c r="I161" s="143">
        <v>84.5</v>
      </c>
      <c r="J161" s="139" t="s">
        <v>180</v>
      </c>
      <c r="K161" s="139" t="s">
        <v>180</v>
      </c>
      <c r="L161" s="143">
        <v>95.95</v>
      </c>
      <c r="M161" s="141" t="s">
        <v>180</v>
      </c>
      <c r="N161" s="141" t="s">
        <v>180</v>
      </c>
      <c r="O161" s="143">
        <f>L161</f>
        <v>95.95</v>
      </c>
      <c r="P161" s="141" t="s">
        <v>180</v>
      </c>
      <c r="Q161" s="141" t="s">
        <v>180</v>
      </c>
      <c r="R161" s="138">
        <f>O161/C161</f>
        <v>1.1875</v>
      </c>
      <c r="S161" s="143">
        <v>82.55</v>
      </c>
      <c r="T161" s="141" t="s">
        <v>180</v>
      </c>
      <c r="U161" s="141" t="s">
        <v>180</v>
      </c>
      <c r="V161" s="143"/>
      <c r="W161" s="141" t="s">
        <v>180</v>
      </c>
      <c r="X161" s="141" t="s">
        <v>180</v>
      </c>
      <c r="Y161" s="143">
        <f>O161</f>
        <v>95.95</v>
      </c>
      <c r="Z161" s="141" t="s">
        <v>180</v>
      </c>
      <c r="AA161" s="141" t="s">
        <v>180</v>
      </c>
      <c r="AB161" s="19">
        <f>Y161/C161</f>
        <v>1.1875</v>
      </c>
    </row>
    <row r="162" spans="1:28" ht="63.75" x14ac:dyDescent="0.25">
      <c r="A162" s="15"/>
      <c r="B162" s="88" t="s">
        <v>208</v>
      </c>
      <c r="C162" s="117">
        <v>114.65</v>
      </c>
      <c r="D162" s="139" t="s">
        <v>180</v>
      </c>
      <c r="E162" s="140" t="s">
        <v>180</v>
      </c>
      <c r="F162" s="143">
        <v>110.65</v>
      </c>
      <c r="G162" s="139" t="s">
        <v>180</v>
      </c>
      <c r="H162" s="139" t="s">
        <v>180</v>
      </c>
      <c r="I162" s="143">
        <v>112.65</v>
      </c>
      <c r="J162" s="139" t="s">
        <v>180</v>
      </c>
      <c r="K162" s="139" t="s">
        <v>180</v>
      </c>
      <c r="L162" s="143">
        <f>122.85-1.35</f>
        <v>121.5</v>
      </c>
      <c r="M162" s="141" t="s">
        <v>180</v>
      </c>
      <c r="N162" s="141" t="s">
        <v>180</v>
      </c>
      <c r="O162" s="143">
        <f>113.5+5+3</f>
        <v>121.5</v>
      </c>
      <c r="P162" s="141" t="s">
        <v>180</v>
      </c>
      <c r="Q162" s="141" t="s">
        <v>180</v>
      </c>
      <c r="R162" s="138">
        <f t="shared" ref="R162:R170" si="125">O162/C162</f>
        <v>1.059747056258177</v>
      </c>
      <c r="S162" s="143">
        <f>5+3+104.3</f>
        <v>112.3</v>
      </c>
      <c r="T162" s="141" t="s">
        <v>180</v>
      </c>
      <c r="U162" s="141" t="s">
        <v>180</v>
      </c>
      <c r="V162" s="143"/>
      <c r="W162" s="141" t="s">
        <v>180</v>
      </c>
      <c r="X162" s="141" t="s">
        <v>180</v>
      </c>
      <c r="Y162" s="143">
        <f>O162</f>
        <v>121.5</v>
      </c>
      <c r="Z162" s="141" t="s">
        <v>180</v>
      </c>
      <c r="AA162" s="141" t="s">
        <v>180</v>
      </c>
      <c r="AB162" s="19">
        <f t="shared" si="124"/>
        <v>1.059747056258177</v>
      </c>
    </row>
    <row r="163" spans="1:28" ht="54" customHeight="1" x14ac:dyDescent="0.25">
      <c r="A163" s="15"/>
      <c r="B163" s="88" t="s">
        <v>209</v>
      </c>
      <c r="C163" s="117">
        <v>2072.9299999999998</v>
      </c>
      <c r="D163" s="139" t="s">
        <v>180</v>
      </c>
      <c r="E163" s="140" t="s">
        <v>180</v>
      </c>
      <c r="F163" s="143">
        <v>2140.7600000000002</v>
      </c>
      <c r="G163" s="139" t="s">
        <v>180</v>
      </c>
      <c r="H163" s="139" t="s">
        <v>180</v>
      </c>
      <c r="I163" s="143">
        <v>2136.91</v>
      </c>
      <c r="J163" s="139" t="s">
        <v>180</v>
      </c>
      <c r="K163" s="139" t="s">
        <v>180</v>
      </c>
      <c r="L163" s="143">
        <v>2232.44</v>
      </c>
      <c r="M163" s="141" t="s">
        <v>180</v>
      </c>
      <c r="N163" s="141" t="s">
        <v>180</v>
      </c>
      <c r="O163" s="143">
        <v>2191.04</v>
      </c>
      <c r="P163" s="141" t="s">
        <v>180</v>
      </c>
      <c r="Q163" s="141" t="s">
        <v>180</v>
      </c>
      <c r="R163" s="138">
        <f t="shared" si="125"/>
        <v>1.0569773219549141</v>
      </c>
      <c r="S163" s="143">
        <v>1966.11</v>
      </c>
      <c r="T163" s="141" t="s">
        <v>180</v>
      </c>
      <c r="U163" s="141" t="s">
        <v>180</v>
      </c>
      <c r="V163" s="143"/>
      <c r="W163" s="141" t="s">
        <v>180</v>
      </c>
      <c r="X163" s="141" t="s">
        <v>180</v>
      </c>
      <c r="Y163" s="143">
        <f>O163</f>
        <v>2191.04</v>
      </c>
      <c r="Z163" s="141" t="s">
        <v>180</v>
      </c>
      <c r="AA163" s="141" t="s">
        <v>180</v>
      </c>
      <c r="AB163" s="19">
        <f t="shared" si="124"/>
        <v>1.0569773219549141</v>
      </c>
    </row>
    <row r="164" spans="1:28" ht="60.75" customHeight="1" x14ac:dyDescent="0.25">
      <c r="A164" s="15"/>
      <c r="B164" s="88" t="s">
        <v>210</v>
      </c>
      <c r="C164" s="117">
        <v>7</v>
      </c>
      <c r="D164" s="139" t="s">
        <v>180</v>
      </c>
      <c r="E164" s="140" t="s">
        <v>180</v>
      </c>
      <c r="F164" s="143">
        <v>6</v>
      </c>
      <c r="G164" s="139" t="s">
        <v>180</v>
      </c>
      <c r="H164" s="139" t="s">
        <v>180</v>
      </c>
      <c r="I164" s="143">
        <v>6.5</v>
      </c>
      <c r="J164" s="139" t="s">
        <v>180</v>
      </c>
      <c r="K164" s="139" t="s">
        <v>180</v>
      </c>
      <c r="L164" s="143">
        <v>10</v>
      </c>
      <c r="M164" s="141" t="s">
        <v>180</v>
      </c>
      <c r="N164" s="141" t="s">
        <v>180</v>
      </c>
      <c r="O164" s="143">
        <f>L164</f>
        <v>10</v>
      </c>
      <c r="P164" s="141" t="s">
        <v>180</v>
      </c>
      <c r="Q164" s="141" t="s">
        <v>180</v>
      </c>
      <c r="R164" s="138">
        <f t="shared" si="125"/>
        <v>1.4285714285714286</v>
      </c>
      <c r="S164" s="143">
        <v>7</v>
      </c>
      <c r="T164" s="141" t="s">
        <v>180</v>
      </c>
      <c r="U164" s="141" t="s">
        <v>180</v>
      </c>
      <c r="V164" s="143"/>
      <c r="W164" s="141" t="s">
        <v>180</v>
      </c>
      <c r="X164" s="141" t="s">
        <v>180</v>
      </c>
      <c r="Y164" s="143">
        <f>O164</f>
        <v>10</v>
      </c>
      <c r="Z164" s="141" t="s">
        <v>180</v>
      </c>
      <c r="AA164" s="141" t="s">
        <v>180</v>
      </c>
      <c r="AB164" s="19">
        <f t="shared" si="124"/>
        <v>1.4285714285714286</v>
      </c>
    </row>
    <row r="165" spans="1:28" s="114" customFormat="1" ht="21" customHeight="1" x14ac:dyDescent="0.25">
      <c r="A165" s="15"/>
      <c r="B165" s="89" t="s">
        <v>206</v>
      </c>
      <c r="C165" s="139">
        <f>C161+C162+C163+C164</f>
        <v>2275.3799999999997</v>
      </c>
      <c r="D165" s="139" t="s">
        <v>180</v>
      </c>
      <c r="E165" s="139" t="s">
        <v>180</v>
      </c>
      <c r="F165" s="139">
        <f>F161+F162+F163+F164</f>
        <v>2342.4100000000003</v>
      </c>
      <c r="G165" s="139" t="s">
        <v>180</v>
      </c>
      <c r="H165" s="139" t="s">
        <v>180</v>
      </c>
      <c r="I165" s="139">
        <f>I161+I162+I163+I164</f>
        <v>2340.56</v>
      </c>
      <c r="J165" s="139" t="s">
        <v>180</v>
      </c>
      <c r="K165" s="139" t="s">
        <v>180</v>
      </c>
      <c r="L165" s="139">
        <f>L161+L162+L163+L164</f>
        <v>2459.89</v>
      </c>
      <c r="M165" s="139" t="s">
        <v>180</v>
      </c>
      <c r="N165" s="139" t="s">
        <v>180</v>
      </c>
      <c r="O165" s="147">
        <f>O161+O162+O163+O164</f>
        <v>2418.4899999999998</v>
      </c>
      <c r="P165" s="141" t="s">
        <v>180</v>
      </c>
      <c r="Q165" s="141" t="s">
        <v>180</v>
      </c>
      <c r="R165" s="138">
        <f t="shared" si="125"/>
        <v>1.0628949889688757</v>
      </c>
      <c r="S165" s="139">
        <f>S161+S162+S163+S164</f>
        <v>2167.96</v>
      </c>
      <c r="T165" s="141" t="s">
        <v>180</v>
      </c>
      <c r="U165" s="141" t="s">
        <v>180</v>
      </c>
      <c r="V165" s="139">
        <f>V161+V162+V163+V164</f>
        <v>0</v>
      </c>
      <c r="W165" s="141" t="s">
        <v>180</v>
      </c>
      <c r="X165" s="141" t="s">
        <v>180</v>
      </c>
      <c r="Y165" s="146">
        <f>Y161+Y162+Y163+Y164</f>
        <v>2418.4899999999998</v>
      </c>
      <c r="Z165" s="141" t="s">
        <v>180</v>
      </c>
      <c r="AA165" s="141" t="s">
        <v>180</v>
      </c>
      <c r="AB165" s="50">
        <f t="shared" si="124"/>
        <v>1.0628949889688757</v>
      </c>
    </row>
    <row r="166" spans="1:28" ht="23.25" customHeight="1" x14ac:dyDescent="0.25">
      <c r="A166" s="15" t="s">
        <v>189</v>
      </c>
      <c r="B166" s="89" t="s">
        <v>190</v>
      </c>
      <c r="C166" s="143">
        <f>C167+C169+C170+C168</f>
        <v>50</v>
      </c>
      <c r="D166" s="139" t="s">
        <v>180</v>
      </c>
      <c r="E166" s="140" t="s">
        <v>180</v>
      </c>
      <c r="F166" s="139" t="s">
        <v>180</v>
      </c>
      <c r="G166" s="139" t="s">
        <v>180</v>
      </c>
      <c r="H166" s="139" t="s">
        <v>180</v>
      </c>
      <c r="I166" s="139" t="s">
        <v>180</v>
      </c>
      <c r="J166" s="139" t="s">
        <v>180</v>
      </c>
      <c r="K166" s="139" t="s">
        <v>180</v>
      </c>
      <c r="L166" s="142">
        <f>L167+L169+L170+L168</f>
        <v>50</v>
      </c>
      <c r="M166" s="141" t="s">
        <v>180</v>
      </c>
      <c r="N166" s="141" t="s">
        <v>180</v>
      </c>
      <c r="O166" s="142">
        <f>O167+O169+O170+O168</f>
        <v>50</v>
      </c>
      <c r="P166" s="141" t="s">
        <v>180</v>
      </c>
      <c r="Q166" s="141" t="s">
        <v>180</v>
      </c>
      <c r="R166" s="138">
        <f t="shared" si="125"/>
        <v>1</v>
      </c>
      <c r="S166" s="142">
        <f>S167+S169+S170+S168</f>
        <v>50</v>
      </c>
      <c r="T166" s="141" t="s">
        <v>180</v>
      </c>
      <c r="U166" s="141" t="s">
        <v>180</v>
      </c>
      <c r="V166" s="141" t="s">
        <v>180</v>
      </c>
      <c r="W166" s="141" t="s">
        <v>180</v>
      </c>
      <c r="X166" s="141" t="s">
        <v>180</v>
      </c>
      <c r="Y166" s="142">
        <f>Y167+Y169+Y170+Y168</f>
        <v>35</v>
      </c>
      <c r="Z166" s="141" t="s">
        <v>180</v>
      </c>
      <c r="AA166" s="141" t="s">
        <v>180</v>
      </c>
      <c r="AB166" s="19">
        <f t="shared" si="124"/>
        <v>0.7</v>
      </c>
    </row>
    <row r="167" spans="1:28" x14ac:dyDescent="0.25">
      <c r="A167" s="15"/>
      <c r="B167" s="89" t="s">
        <v>191</v>
      </c>
      <c r="C167" s="143">
        <v>7</v>
      </c>
      <c r="D167" s="139" t="s">
        <v>180</v>
      </c>
      <c r="E167" s="140" t="s">
        <v>180</v>
      </c>
      <c r="F167" s="139" t="s">
        <v>180</v>
      </c>
      <c r="G167" s="139" t="s">
        <v>180</v>
      </c>
      <c r="H167" s="139" t="s">
        <v>180</v>
      </c>
      <c r="I167" s="139" t="s">
        <v>180</v>
      </c>
      <c r="J167" s="139" t="s">
        <v>180</v>
      </c>
      <c r="K167" s="139" t="s">
        <v>180</v>
      </c>
      <c r="L167" s="145">
        <v>7</v>
      </c>
      <c r="M167" s="141" t="s">
        <v>180</v>
      </c>
      <c r="N167" s="141" t="s">
        <v>180</v>
      </c>
      <c r="O167" s="146">
        <v>7</v>
      </c>
      <c r="P167" s="141" t="s">
        <v>180</v>
      </c>
      <c r="Q167" s="141" t="s">
        <v>180</v>
      </c>
      <c r="R167" s="138">
        <f t="shared" si="125"/>
        <v>1</v>
      </c>
      <c r="S167" s="142">
        <v>7</v>
      </c>
      <c r="T167" s="141" t="s">
        <v>180</v>
      </c>
      <c r="U167" s="141" t="s">
        <v>180</v>
      </c>
      <c r="V167" s="141" t="s">
        <v>180</v>
      </c>
      <c r="W167" s="141" t="s">
        <v>180</v>
      </c>
      <c r="X167" s="141" t="s">
        <v>180</v>
      </c>
      <c r="Y167" s="146">
        <v>7</v>
      </c>
      <c r="Z167" s="141" t="s">
        <v>180</v>
      </c>
      <c r="AA167" s="141" t="s">
        <v>180</v>
      </c>
      <c r="AB167" s="19">
        <f t="shared" si="124"/>
        <v>1</v>
      </c>
    </row>
    <row r="168" spans="1:28" x14ac:dyDescent="0.25">
      <c r="A168" s="15"/>
      <c r="B168" s="89" t="s">
        <v>192</v>
      </c>
      <c r="C168" s="143">
        <v>4</v>
      </c>
      <c r="D168" s="139" t="s">
        <v>180</v>
      </c>
      <c r="E168" s="140" t="s">
        <v>180</v>
      </c>
      <c r="F168" s="139" t="s">
        <v>180</v>
      </c>
      <c r="G168" s="139" t="s">
        <v>180</v>
      </c>
      <c r="H168" s="139" t="s">
        <v>180</v>
      </c>
      <c r="I168" s="139" t="s">
        <v>180</v>
      </c>
      <c r="J168" s="139" t="s">
        <v>180</v>
      </c>
      <c r="K168" s="139" t="s">
        <v>180</v>
      </c>
      <c r="L168" s="145">
        <v>4</v>
      </c>
      <c r="M168" s="141" t="s">
        <v>180</v>
      </c>
      <c r="N168" s="141" t="s">
        <v>180</v>
      </c>
      <c r="O168" s="146">
        <v>4</v>
      </c>
      <c r="P168" s="141" t="s">
        <v>180</v>
      </c>
      <c r="Q168" s="141" t="s">
        <v>180</v>
      </c>
      <c r="R168" s="138">
        <f t="shared" si="125"/>
        <v>1</v>
      </c>
      <c r="S168" s="142">
        <v>4</v>
      </c>
      <c r="T168" s="141" t="s">
        <v>180</v>
      </c>
      <c r="U168" s="141" t="s">
        <v>180</v>
      </c>
      <c r="V168" s="141" t="s">
        <v>180</v>
      </c>
      <c r="W168" s="141" t="s">
        <v>180</v>
      </c>
      <c r="X168" s="141" t="s">
        <v>180</v>
      </c>
      <c r="Y168" s="146">
        <v>4</v>
      </c>
      <c r="Z168" s="141" t="s">
        <v>180</v>
      </c>
      <c r="AA168" s="141" t="s">
        <v>180</v>
      </c>
      <c r="AB168" s="19">
        <f t="shared" si="124"/>
        <v>1</v>
      </c>
    </row>
    <row r="169" spans="1:28" x14ac:dyDescent="0.25">
      <c r="A169" s="15"/>
      <c r="B169" s="89" t="s">
        <v>193</v>
      </c>
      <c r="C169" s="143">
        <v>38</v>
      </c>
      <c r="D169" s="139" t="s">
        <v>180</v>
      </c>
      <c r="E169" s="140" t="s">
        <v>180</v>
      </c>
      <c r="F169" s="139" t="s">
        <v>180</v>
      </c>
      <c r="G169" s="139" t="s">
        <v>180</v>
      </c>
      <c r="H169" s="139" t="s">
        <v>180</v>
      </c>
      <c r="I169" s="139" t="s">
        <v>180</v>
      </c>
      <c r="J169" s="139" t="s">
        <v>180</v>
      </c>
      <c r="K169" s="139" t="s">
        <v>180</v>
      </c>
      <c r="L169" s="145">
        <v>38</v>
      </c>
      <c r="M169" s="141" t="s">
        <v>180</v>
      </c>
      <c r="N169" s="141" t="s">
        <v>180</v>
      </c>
      <c r="O169" s="146">
        <v>38</v>
      </c>
      <c r="P169" s="141" t="s">
        <v>180</v>
      </c>
      <c r="Q169" s="141" t="s">
        <v>180</v>
      </c>
      <c r="R169" s="138">
        <f t="shared" si="125"/>
        <v>1</v>
      </c>
      <c r="S169" s="142">
        <v>38</v>
      </c>
      <c r="T169" s="141" t="s">
        <v>180</v>
      </c>
      <c r="U169" s="141" t="s">
        <v>180</v>
      </c>
      <c r="V169" s="141" t="s">
        <v>180</v>
      </c>
      <c r="W169" s="141" t="s">
        <v>180</v>
      </c>
      <c r="X169" s="141" t="s">
        <v>180</v>
      </c>
      <c r="Y169" s="146">
        <f>38-14-1</f>
        <v>23</v>
      </c>
      <c r="Z169" s="141" t="s">
        <v>180</v>
      </c>
      <c r="AA169" s="141" t="s">
        <v>180</v>
      </c>
      <c r="AB169" s="19">
        <f t="shared" si="124"/>
        <v>0.60526315789473684</v>
      </c>
    </row>
    <row r="170" spans="1:28" x14ac:dyDescent="0.25">
      <c r="A170" s="15"/>
      <c r="B170" s="75" t="s">
        <v>194</v>
      </c>
      <c r="C170" s="143">
        <v>1</v>
      </c>
      <c r="D170" s="139" t="s">
        <v>180</v>
      </c>
      <c r="E170" s="140" t="s">
        <v>180</v>
      </c>
      <c r="F170" s="139" t="s">
        <v>180</v>
      </c>
      <c r="G170" s="139" t="s">
        <v>180</v>
      </c>
      <c r="H170" s="139" t="s">
        <v>180</v>
      </c>
      <c r="I170" s="139" t="s">
        <v>180</v>
      </c>
      <c r="J170" s="139" t="s">
        <v>180</v>
      </c>
      <c r="K170" s="139" t="s">
        <v>180</v>
      </c>
      <c r="L170" s="145">
        <v>1</v>
      </c>
      <c r="M170" s="141" t="s">
        <v>180</v>
      </c>
      <c r="N170" s="141" t="s">
        <v>180</v>
      </c>
      <c r="O170" s="146">
        <v>1</v>
      </c>
      <c r="P170" s="141" t="s">
        <v>180</v>
      </c>
      <c r="Q170" s="141" t="s">
        <v>180</v>
      </c>
      <c r="R170" s="138">
        <f t="shared" si="125"/>
        <v>1</v>
      </c>
      <c r="S170" s="146">
        <v>1</v>
      </c>
      <c r="T170" s="141" t="s">
        <v>180</v>
      </c>
      <c r="U170" s="141" t="s">
        <v>180</v>
      </c>
      <c r="V170" s="141" t="s">
        <v>180</v>
      </c>
      <c r="W170" s="141" t="s">
        <v>180</v>
      </c>
      <c r="X170" s="141" t="s">
        <v>180</v>
      </c>
      <c r="Y170" s="146">
        <v>1</v>
      </c>
      <c r="Z170" s="141" t="s">
        <v>180</v>
      </c>
      <c r="AA170" s="141" t="s">
        <v>180</v>
      </c>
      <c r="AB170" s="19">
        <f t="shared" si="124"/>
        <v>1</v>
      </c>
    </row>
    <row r="171" spans="1:28" ht="25.5" x14ac:dyDescent="0.25">
      <c r="A171" s="15" t="s">
        <v>195</v>
      </c>
      <c r="B171" s="32" t="s">
        <v>196</v>
      </c>
      <c r="C171" s="27">
        <f t="shared" ref="C171:Q171" si="126">C56+C57+C70+C90+C91</f>
        <v>2086141.5120299999</v>
      </c>
      <c r="D171" s="27">
        <f t="shared" si="126"/>
        <v>1348024.8712599999</v>
      </c>
      <c r="E171" s="39">
        <f t="shared" si="126"/>
        <v>738116.64076999994</v>
      </c>
      <c r="F171" s="27">
        <f t="shared" si="126"/>
        <v>372302.49067999999</v>
      </c>
      <c r="G171" s="27">
        <f t="shared" si="126"/>
        <v>230260.51913</v>
      </c>
      <c r="H171" s="39">
        <f t="shared" si="126"/>
        <v>142041.97155000002</v>
      </c>
      <c r="I171" s="27">
        <f t="shared" si="126"/>
        <v>182918.70673000003</v>
      </c>
      <c r="J171" s="27">
        <f t="shared" si="126"/>
        <v>112970.55456000003</v>
      </c>
      <c r="K171" s="39">
        <f t="shared" si="126"/>
        <v>69948.152170000016</v>
      </c>
      <c r="L171" s="27">
        <f t="shared" si="126"/>
        <v>2021460.32381</v>
      </c>
      <c r="M171" s="27">
        <f t="shared" si="126"/>
        <v>1269952.9099999999</v>
      </c>
      <c r="N171" s="39">
        <f t="shared" si="126"/>
        <v>751507.41380999994</v>
      </c>
      <c r="O171" s="27">
        <f t="shared" si="126"/>
        <v>2097101.1839400001</v>
      </c>
      <c r="P171" s="27">
        <f t="shared" si="126"/>
        <v>1265542.2765299999</v>
      </c>
      <c r="Q171" s="39">
        <f t="shared" si="126"/>
        <v>831558.90741000022</v>
      </c>
      <c r="R171" s="50">
        <f t="shared" ref="R171:R173" si="127">Q171/E171</f>
        <v>1.1265955290515084</v>
      </c>
      <c r="S171" s="27">
        <f t="shared" ref="S171:AA171" si="128">S56+S57+S70+S90+S91</f>
        <v>387990.78803999996</v>
      </c>
      <c r="T171" s="27">
        <f t="shared" si="128"/>
        <v>224892.36554</v>
      </c>
      <c r="U171" s="39">
        <f t="shared" si="128"/>
        <v>163098.42249999999</v>
      </c>
      <c r="V171" s="27">
        <f t="shared" si="128"/>
        <v>179119.00000000006</v>
      </c>
      <c r="W171" s="27">
        <f t="shared" si="128"/>
        <v>103254.5</v>
      </c>
      <c r="X171" s="39">
        <f t="shared" si="128"/>
        <v>75864.5</v>
      </c>
      <c r="Y171" s="27">
        <f t="shared" si="128"/>
        <v>2097101.1839400001</v>
      </c>
      <c r="Z171" s="27">
        <f t="shared" si="128"/>
        <v>1265542.2765299999</v>
      </c>
      <c r="AA171" s="39">
        <f t="shared" si="128"/>
        <v>831558.90741000022</v>
      </c>
      <c r="AB171" s="50">
        <f t="shared" ref="AB171:AB173" si="129">AA171/E171</f>
        <v>1.1265955290515084</v>
      </c>
    </row>
    <row r="172" spans="1:28" ht="25.5" x14ac:dyDescent="0.25">
      <c r="A172" s="15" t="s">
        <v>197</v>
      </c>
      <c r="B172" s="32" t="s">
        <v>198</v>
      </c>
      <c r="C172" s="27">
        <f>C60+C77+C94</f>
        <v>198063.91486999998</v>
      </c>
      <c r="D172" s="27">
        <f t="shared" ref="D172:AA172" si="130">D60+D77+D94</f>
        <v>479.86693000000002</v>
      </c>
      <c r="E172" s="39">
        <f t="shared" si="130"/>
        <v>197584.04793999999</v>
      </c>
      <c r="F172" s="27">
        <f t="shared" si="130"/>
        <v>54409.249000000003</v>
      </c>
      <c r="G172" s="27">
        <f t="shared" si="130"/>
        <v>282</v>
      </c>
      <c r="H172" s="39">
        <f t="shared" si="130"/>
        <v>54127.249000000003</v>
      </c>
      <c r="I172" s="27">
        <f t="shared" si="130"/>
        <v>30427.721000000001</v>
      </c>
      <c r="J172" s="27">
        <f t="shared" si="130"/>
        <v>-33.319999999999993</v>
      </c>
      <c r="K172" s="39">
        <f t="shared" si="130"/>
        <v>30461.041000000001</v>
      </c>
      <c r="L172" s="27">
        <f t="shared" si="130"/>
        <v>165313.45089000001</v>
      </c>
      <c r="M172" s="27">
        <f t="shared" si="130"/>
        <v>420.53089</v>
      </c>
      <c r="N172" s="39">
        <f t="shared" si="130"/>
        <v>164892.92000000001</v>
      </c>
      <c r="O172" s="27">
        <f t="shared" si="130"/>
        <v>235353.62898000001</v>
      </c>
      <c r="P172" s="27">
        <f t="shared" si="130"/>
        <v>465.78617000000003</v>
      </c>
      <c r="Q172" s="39">
        <f t="shared" si="130"/>
        <v>234887.84281</v>
      </c>
      <c r="R172" s="50">
        <f t="shared" si="127"/>
        <v>1.1887996286083176</v>
      </c>
      <c r="S172" s="27">
        <f t="shared" si="130"/>
        <v>77953.947209999998</v>
      </c>
      <c r="T172" s="27">
        <f t="shared" si="130"/>
        <v>115.93617</v>
      </c>
      <c r="U172" s="39">
        <f t="shared" si="130"/>
        <v>77838.011039999998</v>
      </c>
      <c r="V172" s="27">
        <f t="shared" si="130"/>
        <v>16620.400000000001</v>
      </c>
      <c r="W172" s="27">
        <f t="shared" si="130"/>
        <v>32.1</v>
      </c>
      <c r="X172" s="39">
        <f t="shared" si="130"/>
        <v>16588.300000000003</v>
      </c>
      <c r="Y172" s="27">
        <f t="shared" si="130"/>
        <v>235353.62898000001</v>
      </c>
      <c r="Z172" s="27">
        <f t="shared" si="130"/>
        <v>465.78617000000003</v>
      </c>
      <c r="AA172" s="39">
        <f t="shared" si="130"/>
        <v>234887.84281</v>
      </c>
      <c r="AB172" s="50">
        <f t="shared" si="129"/>
        <v>1.1887996286083176</v>
      </c>
    </row>
    <row r="173" spans="1:28" ht="25.5" x14ac:dyDescent="0.25">
      <c r="A173" s="15" t="s">
        <v>199</v>
      </c>
      <c r="B173" s="32" t="s">
        <v>214</v>
      </c>
      <c r="C173" s="27">
        <f>C64+C98</f>
        <v>177283.85339</v>
      </c>
      <c r="D173" s="27">
        <f t="shared" ref="D173:AA173" si="131">D64+D98</f>
        <v>159756.56203999999</v>
      </c>
      <c r="E173" s="27">
        <f t="shared" si="131"/>
        <v>17527.291350000014</v>
      </c>
      <c r="F173" s="27">
        <f t="shared" si="131"/>
        <v>26146.611639999999</v>
      </c>
      <c r="G173" s="27">
        <f t="shared" si="131"/>
        <v>24839.281070000001</v>
      </c>
      <c r="H173" s="27">
        <f>H64+H98</f>
        <v>1307.3305699999983</v>
      </c>
      <c r="I173" s="27">
        <f t="shared" si="131"/>
        <v>0</v>
      </c>
      <c r="J173" s="27">
        <f t="shared" si="131"/>
        <v>0</v>
      </c>
      <c r="K173" s="27">
        <f t="shared" si="131"/>
        <v>0</v>
      </c>
      <c r="L173" s="27">
        <f t="shared" si="131"/>
        <v>755631.62448</v>
      </c>
      <c r="M173" s="27">
        <f t="shared" si="131"/>
        <v>754215.17038000003</v>
      </c>
      <c r="N173" s="27">
        <f t="shared" si="131"/>
        <v>1416.4540999999736</v>
      </c>
      <c r="O173" s="27">
        <f t="shared" si="131"/>
        <v>878398.82557999995</v>
      </c>
      <c r="P173" s="27">
        <f t="shared" si="131"/>
        <v>876982.37147999997</v>
      </c>
      <c r="Q173" s="27">
        <f t="shared" si="131"/>
        <v>1416.4540999999736</v>
      </c>
      <c r="R173" s="50">
        <f t="shared" si="127"/>
        <v>8.0814204072665929E-2</v>
      </c>
      <c r="S173" s="27">
        <f t="shared" si="131"/>
        <v>41642.781640000001</v>
      </c>
      <c r="T173" s="27">
        <f t="shared" si="131"/>
        <v>41638.790079999999</v>
      </c>
      <c r="U173" s="27">
        <f t="shared" si="131"/>
        <v>3.9915600000022096</v>
      </c>
      <c r="V173" s="27">
        <f t="shared" si="131"/>
        <v>104726.86</v>
      </c>
      <c r="W173" s="27">
        <f t="shared" si="131"/>
        <v>103683.99099999999</v>
      </c>
      <c r="X173" s="27">
        <f t="shared" si="131"/>
        <v>1042.8690000000061</v>
      </c>
      <c r="Y173" s="27">
        <f t="shared" si="131"/>
        <v>878398.82557999995</v>
      </c>
      <c r="Z173" s="27">
        <f t="shared" si="131"/>
        <v>876982.37147999997</v>
      </c>
      <c r="AA173" s="27">
        <f t="shared" si="131"/>
        <v>1416.4540999999736</v>
      </c>
      <c r="AB173" s="50">
        <f t="shared" si="129"/>
        <v>8.0814204072665929E-2</v>
      </c>
    </row>
    <row r="174" spans="1:28" s="105" customFormat="1" ht="166.5" customHeight="1" x14ac:dyDescent="0.25">
      <c r="A174" s="90" t="s">
        <v>199</v>
      </c>
      <c r="B174" s="112" t="s">
        <v>202</v>
      </c>
      <c r="C174" s="148">
        <f>D174+E174</f>
        <v>255862.29000000004</v>
      </c>
      <c r="D174" s="155">
        <f>10750.6+10522.9+10383.57+10427.07+9778.78+7451.11+5317.13+6175.56+8906.54+9458.29+18147.3+80</f>
        <v>107398.85000000002</v>
      </c>
      <c r="E174" s="155">
        <f>13746.4+12070.4+14174.2+13756.28+13076.14+11086.5+7803.78+8700.4+11889.38+13007.06+27677.9+1475</f>
        <v>148463.44</v>
      </c>
      <c r="F174" s="149">
        <f>G174+H174</f>
        <v>47390</v>
      </c>
      <c r="G174" s="156">
        <f>21274+38</f>
        <v>21312</v>
      </c>
      <c r="H174" s="156">
        <f>25817+261</f>
        <v>26078</v>
      </c>
      <c r="I174" s="150" t="s">
        <v>180</v>
      </c>
      <c r="J174" s="150" t="s">
        <v>180</v>
      </c>
      <c r="K174" s="150" t="s">
        <v>180</v>
      </c>
      <c r="L174" s="148">
        <f>M174+N174</f>
        <v>336783</v>
      </c>
      <c r="M174" s="148">
        <f>540+138121</f>
        <v>138661</v>
      </c>
      <c r="N174" s="148">
        <f>8260+189862</f>
        <v>198122</v>
      </c>
      <c r="O174" s="148">
        <f>P174+Q174</f>
        <v>333628.19000000006</v>
      </c>
      <c r="P174" s="148">
        <f>138121.208+1264.31</f>
        <v>139385.51800000001</v>
      </c>
      <c r="Q174" s="148">
        <f>189861.912+4380.76</f>
        <v>194242.67200000002</v>
      </c>
      <c r="R174" s="91"/>
      <c r="S174" s="148">
        <f>T174+U174</f>
        <v>55836.66</v>
      </c>
      <c r="T174" s="148">
        <f>22118.27+41.93</f>
        <v>22160.2</v>
      </c>
      <c r="U174" s="148">
        <f>33133.14+543.32</f>
        <v>33676.46</v>
      </c>
      <c r="V174" s="150" t="s">
        <v>180</v>
      </c>
      <c r="W174" s="150" t="s">
        <v>180</v>
      </c>
      <c r="X174" s="150" t="s">
        <v>180</v>
      </c>
      <c r="Y174" s="148">
        <f t="shared" ref="Y174:AA175" si="132">O174</f>
        <v>333628.19000000006</v>
      </c>
      <c r="Z174" s="148">
        <f t="shared" si="132"/>
        <v>139385.51800000001</v>
      </c>
      <c r="AA174" s="148">
        <f t="shared" si="132"/>
        <v>194242.67200000002</v>
      </c>
      <c r="AB174" s="91"/>
    </row>
    <row r="175" spans="1:28" s="105" customFormat="1" ht="171" customHeight="1" x14ac:dyDescent="0.25">
      <c r="A175" s="90" t="s">
        <v>200</v>
      </c>
      <c r="B175" s="113" t="s">
        <v>203</v>
      </c>
      <c r="C175" s="151">
        <f>D175+E175</f>
        <v>701</v>
      </c>
      <c r="D175" s="155">
        <f>281+3</f>
        <v>284</v>
      </c>
      <c r="E175" s="155">
        <f>389+28</f>
        <v>417</v>
      </c>
      <c r="F175" s="152">
        <f>G175+H175</f>
        <v>736</v>
      </c>
      <c r="G175" s="157">
        <f>314+3</f>
        <v>317</v>
      </c>
      <c r="H175" s="156">
        <f>382+37</f>
        <v>419</v>
      </c>
      <c r="I175" s="153" t="s">
        <v>180</v>
      </c>
      <c r="J175" s="153" t="s">
        <v>180</v>
      </c>
      <c r="K175" s="153" t="s">
        <v>180</v>
      </c>
      <c r="L175" s="151">
        <f>M175+N175</f>
        <v>763</v>
      </c>
      <c r="M175" s="153">
        <f>4+305</f>
        <v>309</v>
      </c>
      <c r="N175" s="153">
        <f>59+395</f>
        <v>454</v>
      </c>
      <c r="O175" s="151">
        <f>P175+Q175</f>
        <v>765</v>
      </c>
      <c r="P175" s="151">
        <f>305+6</f>
        <v>311</v>
      </c>
      <c r="Q175" s="148">
        <f>395+59</f>
        <v>454</v>
      </c>
      <c r="R175" s="92"/>
      <c r="S175" s="151">
        <f>T175+U175</f>
        <v>786</v>
      </c>
      <c r="T175" s="151">
        <f>258+3</f>
        <v>261</v>
      </c>
      <c r="U175" s="148">
        <f>463+62</f>
        <v>525</v>
      </c>
      <c r="V175" s="153" t="s">
        <v>180</v>
      </c>
      <c r="W175" s="153" t="s">
        <v>180</v>
      </c>
      <c r="X175" s="153" t="s">
        <v>180</v>
      </c>
      <c r="Y175" s="151">
        <f t="shared" si="132"/>
        <v>765</v>
      </c>
      <c r="Z175" s="151">
        <f t="shared" si="132"/>
        <v>311</v>
      </c>
      <c r="AA175" s="148">
        <f t="shared" si="132"/>
        <v>454</v>
      </c>
      <c r="AB175" s="92"/>
    </row>
    <row r="176" spans="1:28" s="105" customFormat="1" x14ac:dyDescent="0.25">
      <c r="B176" s="106"/>
      <c r="C176" s="107"/>
      <c r="D176" s="107"/>
      <c r="E176" s="108"/>
      <c r="F176" s="107"/>
      <c r="G176" s="107"/>
      <c r="H176" s="108"/>
      <c r="I176" s="107"/>
      <c r="J176" s="107"/>
      <c r="K176" s="108"/>
      <c r="L176" s="107"/>
      <c r="M176" s="107"/>
      <c r="N176" s="108"/>
      <c r="O176" s="107"/>
      <c r="P176" s="107"/>
      <c r="Q176" s="108"/>
      <c r="R176" s="109"/>
      <c r="S176" s="107"/>
      <c r="T176" s="107"/>
      <c r="U176" s="108"/>
      <c r="V176" s="107"/>
      <c r="W176" s="107"/>
      <c r="X176" s="108"/>
      <c r="Y176" s="107"/>
      <c r="Z176" s="107"/>
      <c r="AA176" s="108"/>
      <c r="AB176" s="109"/>
    </row>
    <row r="177" spans="2:28" s="105" customFormat="1" ht="15.75" x14ac:dyDescent="0.25">
      <c r="B177" s="93" t="s">
        <v>228</v>
      </c>
      <c r="C177" s="94"/>
      <c r="D177" s="94"/>
      <c r="E177" s="95"/>
      <c r="F177" s="96"/>
      <c r="G177" s="96"/>
      <c r="H177" s="97"/>
      <c r="I177" s="97"/>
      <c r="J177" s="97"/>
      <c r="K177" s="97"/>
      <c r="L177" s="98"/>
      <c r="M177" s="98"/>
      <c r="N177" s="98"/>
      <c r="O177" s="99"/>
      <c r="P177" s="99"/>
      <c r="Q177" s="99"/>
      <c r="R177" s="100"/>
      <c r="S177" s="101"/>
      <c r="T177" s="101"/>
      <c r="U177" s="101"/>
      <c r="V177" s="101"/>
      <c r="W177" s="101"/>
      <c r="X177" s="101"/>
      <c r="Y177" s="101"/>
      <c r="Z177" s="101"/>
      <c r="AA177" s="101"/>
      <c r="AB177" s="102"/>
    </row>
    <row r="178" spans="2:28" s="105" customFormat="1" ht="15.75" x14ac:dyDescent="0.25">
      <c r="B178" s="93" t="s">
        <v>201</v>
      </c>
      <c r="C178" s="94"/>
      <c r="D178" s="94"/>
      <c r="E178" s="95"/>
      <c r="F178" s="96"/>
      <c r="G178" s="96"/>
      <c r="H178" s="97"/>
      <c r="I178" s="97"/>
      <c r="J178" s="97"/>
      <c r="K178" s="97"/>
      <c r="L178" s="98"/>
      <c r="M178" s="98"/>
      <c r="N178" s="98"/>
      <c r="O178" s="99"/>
      <c r="P178" s="99"/>
      <c r="Q178" s="99"/>
      <c r="R178" s="100"/>
      <c r="S178" s="101"/>
      <c r="T178" s="101"/>
      <c r="U178" s="101"/>
      <c r="V178" s="101"/>
      <c r="W178" s="101"/>
      <c r="X178" s="101"/>
      <c r="Y178" s="101"/>
      <c r="Z178" s="101"/>
      <c r="AA178" s="101"/>
      <c r="AB178" s="102"/>
    </row>
    <row r="179" spans="2:28" s="105" customFormat="1" ht="15.75" x14ac:dyDescent="0.25">
      <c r="B179" s="93"/>
      <c r="C179" s="94"/>
      <c r="D179" s="94"/>
      <c r="E179" s="95"/>
      <c r="F179" s="96"/>
      <c r="G179" s="96"/>
      <c r="H179" s="97"/>
      <c r="I179" s="97"/>
      <c r="J179" s="97"/>
      <c r="K179" s="97"/>
      <c r="L179" s="98"/>
      <c r="M179" s="98"/>
      <c r="N179" s="98"/>
      <c r="O179" s="99"/>
      <c r="P179" s="99"/>
      <c r="Q179" s="99"/>
      <c r="R179" s="100"/>
      <c r="S179" s="101"/>
      <c r="T179" s="101"/>
      <c r="U179" s="101"/>
      <c r="V179" s="101"/>
      <c r="W179" s="101"/>
      <c r="X179" s="101"/>
      <c r="Y179" s="101"/>
      <c r="Z179" s="101"/>
      <c r="AA179" s="101"/>
      <c r="AB179" s="102"/>
    </row>
    <row r="180" spans="2:28" s="105" customFormat="1" ht="15.75" x14ac:dyDescent="0.25">
      <c r="B180" s="93" t="s">
        <v>234</v>
      </c>
      <c r="C180" s="94"/>
      <c r="D180" s="94"/>
      <c r="E180" s="95"/>
      <c r="F180" s="96"/>
      <c r="G180" s="96"/>
      <c r="H180" s="97"/>
      <c r="I180" s="97"/>
      <c r="J180" s="97"/>
      <c r="K180" s="97"/>
      <c r="L180" s="98"/>
      <c r="M180" s="98"/>
      <c r="N180" s="98"/>
      <c r="O180" s="99"/>
      <c r="P180" s="99"/>
      <c r="Q180" s="99"/>
      <c r="R180" s="100"/>
      <c r="S180" s="101"/>
      <c r="T180" s="101"/>
      <c r="U180" s="101"/>
      <c r="V180" s="101"/>
      <c r="W180" s="101"/>
      <c r="X180" s="101"/>
      <c r="Y180" s="101"/>
      <c r="Z180" s="101"/>
      <c r="AA180" s="101"/>
      <c r="AB180" s="102"/>
    </row>
    <row r="181" spans="2:28" s="105" customFormat="1" ht="15.75" x14ac:dyDescent="0.25">
      <c r="B181" s="94"/>
      <c r="C181" s="94"/>
      <c r="D181" s="94"/>
      <c r="E181" s="95"/>
      <c r="F181" s="96"/>
      <c r="G181" s="96"/>
      <c r="H181" s="97"/>
      <c r="I181" s="97"/>
      <c r="J181" s="97"/>
      <c r="K181" s="97"/>
      <c r="L181" s="98"/>
      <c r="M181" s="98"/>
      <c r="N181" s="98"/>
      <c r="O181" s="99"/>
      <c r="P181" s="99"/>
      <c r="Q181" s="99"/>
      <c r="R181" s="100"/>
      <c r="S181" s="101"/>
      <c r="T181" s="101"/>
      <c r="U181" s="101"/>
      <c r="V181" s="101"/>
      <c r="W181" s="101"/>
      <c r="X181" s="101"/>
      <c r="Y181" s="101"/>
      <c r="Z181" s="101"/>
      <c r="AA181" s="101"/>
      <c r="AB181" s="102"/>
    </row>
    <row r="182" spans="2:28" s="105" customFormat="1" x14ac:dyDescent="0.25">
      <c r="B182" s="103"/>
      <c r="C182" s="103"/>
      <c r="D182" s="103"/>
      <c r="E182" s="104"/>
      <c r="F182" s="98"/>
      <c r="G182" s="98"/>
      <c r="H182" s="97"/>
      <c r="I182" s="97"/>
      <c r="J182" s="97"/>
      <c r="K182" s="97"/>
      <c r="L182" s="98"/>
      <c r="M182" s="98"/>
      <c r="N182" s="98"/>
      <c r="O182" s="99"/>
      <c r="P182" s="99"/>
      <c r="Q182" s="99"/>
      <c r="R182" s="100"/>
      <c r="S182" s="101"/>
      <c r="T182" s="101"/>
      <c r="U182" s="101"/>
      <c r="V182" s="101"/>
      <c r="W182" s="101"/>
      <c r="X182" s="101"/>
      <c r="Y182" s="101"/>
      <c r="Z182" s="101"/>
      <c r="AA182" s="101"/>
      <c r="AB182" s="102"/>
    </row>
    <row r="183" spans="2:28" s="105" customFormat="1" x14ac:dyDescent="0.25"/>
    <row r="184" spans="2:28" s="105" customFormat="1" x14ac:dyDescent="0.25"/>
    <row r="185" spans="2:28" x14ac:dyDescent="0.25">
      <c r="B185" s="105"/>
      <c r="C185" s="105"/>
      <c r="D185" s="105"/>
      <c r="E185" s="105"/>
      <c r="F185" s="105"/>
      <c r="G185" s="105"/>
      <c r="H185" s="105"/>
      <c r="I185" s="105"/>
      <c r="J185" s="105"/>
      <c r="K185" s="105"/>
      <c r="L185" s="105"/>
      <c r="M185" s="105"/>
    </row>
    <row r="186" spans="2:28" x14ac:dyDescent="0.25">
      <c r="B186" s="105"/>
      <c r="C186" s="105"/>
      <c r="D186" s="105"/>
      <c r="E186" s="105"/>
      <c r="F186" s="105"/>
      <c r="G186" s="105"/>
      <c r="H186" s="105"/>
      <c r="I186" s="105"/>
      <c r="J186" s="105"/>
      <c r="K186" s="105"/>
      <c r="L186" s="105"/>
      <c r="M186" s="105"/>
    </row>
    <row r="187" spans="2:28" x14ac:dyDescent="0.25">
      <c r="B187" s="105"/>
      <c r="C187" s="105"/>
      <c r="D187" s="105"/>
      <c r="E187" s="105"/>
      <c r="F187" s="105"/>
      <c r="G187" s="105"/>
      <c r="H187" s="105"/>
      <c r="I187" s="105"/>
      <c r="J187" s="105"/>
      <c r="K187" s="105"/>
      <c r="L187" s="105"/>
      <c r="M187" s="105"/>
    </row>
    <row r="188" spans="2:28" x14ac:dyDescent="0.25">
      <c r="B188" s="105"/>
      <c r="C188" s="105"/>
      <c r="D188" s="105"/>
      <c r="E188" s="105"/>
      <c r="F188" s="105"/>
      <c r="G188" s="105"/>
      <c r="H188" s="105"/>
      <c r="I188" s="105"/>
      <c r="J188" s="105"/>
      <c r="K188" s="105"/>
      <c r="L188" s="105"/>
      <c r="M188" s="105"/>
    </row>
    <row r="189" spans="2:28" x14ac:dyDescent="0.25">
      <c r="B189" s="105"/>
      <c r="C189" s="105"/>
      <c r="D189" s="105"/>
      <c r="E189" s="105"/>
      <c r="F189" s="105"/>
      <c r="G189" s="105"/>
      <c r="H189" s="105"/>
      <c r="I189" s="105"/>
      <c r="J189" s="105"/>
      <c r="K189" s="105"/>
      <c r="L189" s="105"/>
      <c r="M189" s="105"/>
    </row>
    <row r="190" spans="2:28" x14ac:dyDescent="0.25">
      <c r="B190" s="105"/>
      <c r="C190" s="105"/>
      <c r="D190" s="105"/>
      <c r="E190" s="105"/>
      <c r="F190" s="105"/>
      <c r="G190" s="105"/>
      <c r="H190" s="105"/>
      <c r="I190" s="105"/>
      <c r="J190" s="105"/>
      <c r="K190" s="105"/>
      <c r="L190" s="105"/>
      <c r="M190" s="105"/>
    </row>
    <row r="191" spans="2:28" x14ac:dyDescent="0.25">
      <c r="B191" s="105"/>
      <c r="C191" s="105"/>
      <c r="D191" s="105"/>
      <c r="E191" s="105"/>
      <c r="F191" s="105"/>
      <c r="G191" s="105"/>
      <c r="H191" s="105"/>
      <c r="I191" s="105"/>
      <c r="J191" s="105"/>
      <c r="K191" s="105"/>
      <c r="L191" s="105"/>
      <c r="M191" s="105"/>
    </row>
    <row r="192" spans="2:28" x14ac:dyDescent="0.25">
      <c r="B192" s="105"/>
      <c r="C192" s="105"/>
      <c r="D192" s="105"/>
      <c r="E192" s="105"/>
      <c r="F192" s="105"/>
      <c r="G192" s="105"/>
      <c r="H192" s="105"/>
      <c r="I192" s="105"/>
      <c r="J192" s="105"/>
      <c r="K192" s="105"/>
      <c r="L192" s="105"/>
      <c r="M192" s="105"/>
    </row>
    <row r="193" spans="2:13" x14ac:dyDescent="0.25">
      <c r="B193" s="105"/>
      <c r="C193" s="105"/>
      <c r="D193" s="105"/>
      <c r="E193" s="105"/>
      <c r="F193" s="105"/>
      <c r="G193" s="105"/>
      <c r="H193" s="105"/>
      <c r="I193" s="105"/>
      <c r="J193" s="105"/>
      <c r="K193" s="105"/>
      <c r="L193" s="105"/>
      <c r="M193" s="105"/>
    </row>
    <row r="194" spans="2:13" x14ac:dyDescent="0.25">
      <c r="B194" s="105"/>
      <c r="C194" s="105"/>
      <c r="D194" s="105"/>
      <c r="E194" s="105"/>
      <c r="F194" s="105"/>
      <c r="G194" s="105"/>
      <c r="H194" s="105"/>
      <c r="I194" s="105"/>
      <c r="J194" s="105"/>
      <c r="K194" s="105"/>
      <c r="L194" s="105"/>
      <c r="M194" s="105"/>
    </row>
    <row r="195" spans="2:13" x14ac:dyDescent="0.25">
      <c r="B195" s="105"/>
      <c r="C195" s="105"/>
      <c r="D195" s="105"/>
      <c r="E195" s="105"/>
      <c r="F195" s="105"/>
      <c r="G195" s="105"/>
      <c r="H195" s="105"/>
      <c r="I195" s="105"/>
      <c r="J195" s="105"/>
      <c r="K195" s="105"/>
      <c r="L195" s="105"/>
      <c r="M195" s="105"/>
    </row>
    <row r="196" spans="2:13" x14ac:dyDescent="0.25">
      <c r="B196" s="105"/>
      <c r="C196" s="105"/>
      <c r="D196" s="105"/>
      <c r="E196" s="105"/>
      <c r="F196" s="105"/>
      <c r="G196" s="105"/>
      <c r="H196" s="105"/>
      <c r="I196" s="105"/>
      <c r="J196" s="105"/>
      <c r="K196" s="105"/>
      <c r="L196" s="105"/>
      <c r="M196" s="105"/>
    </row>
    <row r="197" spans="2:13" x14ac:dyDescent="0.25">
      <c r="B197" s="105"/>
      <c r="C197" s="105"/>
      <c r="D197" s="105"/>
      <c r="E197" s="105"/>
      <c r="F197" s="105"/>
      <c r="G197" s="105"/>
      <c r="H197" s="105"/>
      <c r="I197" s="105"/>
      <c r="J197" s="105"/>
      <c r="K197" s="105"/>
      <c r="L197" s="105"/>
      <c r="M197" s="105"/>
    </row>
    <row r="198" spans="2:13" x14ac:dyDescent="0.25">
      <c r="B198" s="105"/>
      <c r="C198" s="105"/>
      <c r="D198" s="105"/>
      <c r="E198" s="105"/>
      <c r="F198" s="105"/>
      <c r="G198" s="105"/>
      <c r="H198" s="105"/>
      <c r="I198" s="105"/>
      <c r="J198" s="105"/>
      <c r="K198" s="105"/>
      <c r="L198" s="105"/>
      <c r="M198" s="105"/>
    </row>
    <row r="199" spans="2:13" x14ac:dyDescent="0.25">
      <c r="B199" s="105"/>
      <c r="C199" s="105"/>
      <c r="D199" s="105"/>
      <c r="E199" s="105"/>
      <c r="F199" s="105"/>
      <c r="G199" s="105"/>
      <c r="H199" s="105"/>
      <c r="I199" s="105"/>
      <c r="J199" s="105"/>
      <c r="K199" s="105"/>
      <c r="L199" s="105"/>
      <c r="M199" s="105"/>
    </row>
    <row r="200" spans="2:13" x14ac:dyDescent="0.25">
      <c r="B200" s="105"/>
      <c r="C200" s="105"/>
      <c r="D200" s="105"/>
      <c r="E200" s="105"/>
      <c r="F200" s="105"/>
      <c r="G200" s="105"/>
      <c r="H200" s="105"/>
      <c r="I200" s="105"/>
      <c r="J200" s="105"/>
      <c r="K200" s="105"/>
      <c r="L200" s="105"/>
      <c r="M200" s="105"/>
    </row>
  </sheetData>
  <sheetProtection password="CC2B" sheet="1" objects="1" scenarios="1"/>
  <mergeCells count="31">
    <mergeCell ref="J4:K4"/>
    <mergeCell ref="L4:L5"/>
    <mergeCell ref="M4:N4"/>
    <mergeCell ref="O4:O5"/>
    <mergeCell ref="P4:Q4"/>
    <mergeCell ref="S4:S5"/>
    <mergeCell ref="R3:R5"/>
    <mergeCell ref="S3:U3"/>
    <mergeCell ref="V3:X3"/>
    <mergeCell ref="Y3:AA3"/>
    <mergeCell ref="T4:U4"/>
    <mergeCell ref="V4:V5"/>
    <mergeCell ref="W4:X4"/>
    <mergeCell ref="Y4:Y5"/>
    <mergeCell ref="Z4:AA4"/>
    <mergeCell ref="C1:X1"/>
    <mergeCell ref="A2:A5"/>
    <mergeCell ref="B2:B5"/>
    <mergeCell ref="C2:K2"/>
    <mergeCell ref="L2:AB2"/>
    <mergeCell ref="C3:E3"/>
    <mergeCell ref="F3:H3"/>
    <mergeCell ref="I3:K3"/>
    <mergeCell ref="L3:N3"/>
    <mergeCell ref="O3:Q3"/>
    <mergeCell ref="AB3:AB5"/>
    <mergeCell ref="C4:C5"/>
    <mergeCell ref="D4:E4"/>
    <mergeCell ref="F4:F5"/>
    <mergeCell ref="G4:H4"/>
    <mergeCell ref="I4:I5"/>
  </mergeCells>
  <pageMargins left="0.31496062992125984" right="0.11811023622047245" top="0" bottom="0" header="0.31496062992125984" footer="0.31496062992125984"/>
  <pageSetup paperSize="8" scale="5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Сысоева О.С.</dc:creator>
  <cp:lastModifiedBy>Пикина Надежда Анатольевна</cp:lastModifiedBy>
  <cp:lastPrinted>2024-02-01T13:57:31Z</cp:lastPrinted>
  <dcterms:created xsi:type="dcterms:W3CDTF">2020-02-03T08:43:29Z</dcterms:created>
  <dcterms:modified xsi:type="dcterms:W3CDTF">2025-04-10T13:10:06Z</dcterms:modified>
</cp:coreProperties>
</file>