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Лист1!$A$1:$V$180</definedName>
  </definedNames>
  <calcPr calcId="145621"/>
</workbook>
</file>

<file path=xl/calcChain.xml><?xml version="1.0" encoding="utf-8"?>
<calcChain xmlns="http://schemas.openxmlformats.org/spreadsheetml/2006/main">
  <c r="K175" i="1" l="1"/>
  <c r="J175" i="1"/>
  <c r="I175" i="1"/>
  <c r="K174" i="1"/>
  <c r="I174" i="1" s="1"/>
  <c r="J174" i="1"/>
  <c r="U143" i="1" l="1"/>
  <c r="U137" i="1"/>
  <c r="T143" i="1"/>
  <c r="U146" i="1"/>
  <c r="T146" i="1"/>
  <c r="T137" i="1"/>
  <c r="T144" i="1"/>
  <c r="T141" i="1"/>
  <c r="T140" i="1"/>
  <c r="T147" i="1"/>
  <c r="T148" i="1"/>
  <c r="T139" i="1"/>
  <c r="U75" i="1"/>
  <c r="U78" i="1"/>
  <c r="T78" i="1"/>
  <c r="T75" i="1"/>
  <c r="T129" i="1"/>
  <c r="U46" i="1"/>
  <c r="T60" i="1"/>
  <c r="T61" i="1"/>
  <c r="O175" i="1" l="1"/>
  <c r="O174" i="1"/>
  <c r="N175" i="1"/>
  <c r="N174" i="1"/>
  <c r="M175" i="1"/>
  <c r="M174" i="1"/>
  <c r="N70" i="1" l="1"/>
  <c r="N68" i="1"/>
  <c r="J70" i="1"/>
  <c r="J68" i="1"/>
  <c r="M79" i="1" l="1"/>
  <c r="M78" i="1"/>
  <c r="M77" i="1"/>
  <c r="M75" i="1"/>
  <c r="M72" i="1"/>
  <c r="M70" i="1"/>
  <c r="M68" i="1"/>
  <c r="I79" i="1"/>
  <c r="I78" i="1"/>
  <c r="I77" i="1"/>
  <c r="I75" i="1"/>
  <c r="I72" i="1"/>
  <c r="I70" i="1"/>
  <c r="I68" i="1"/>
  <c r="N95" i="1" l="1"/>
  <c r="M96" i="1"/>
  <c r="M95" i="1"/>
  <c r="J95" i="1"/>
  <c r="I96" i="1"/>
  <c r="I95" i="1"/>
  <c r="R75" i="1" l="1"/>
  <c r="M94" i="1" l="1"/>
  <c r="I94" i="1"/>
  <c r="Q96" i="1"/>
  <c r="Q95" i="1"/>
  <c r="Q94" i="1"/>
  <c r="R62" i="1"/>
  <c r="R61" i="1"/>
  <c r="R60" i="1"/>
  <c r="Q62" i="1"/>
  <c r="Q61" i="1"/>
  <c r="Q60" i="1"/>
  <c r="M61" i="1"/>
  <c r="I61" i="1"/>
  <c r="N61" i="1"/>
  <c r="M60" i="1"/>
  <c r="J61" i="1"/>
  <c r="I62" i="1"/>
  <c r="I60" i="1"/>
  <c r="T158" i="1" l="1"/>
  <c r="T161" i="1" l="1"/>
  <c r="T162" i="1"/>
  <c r="T163" i="1"/>
  <c r="T133" i="1"/>
  <c r="T132" i="1"/>
  <c r="U100" i="1"/>
  <c r="T100" i="1"/>
  <c r="U88" i="1"/>
  <c r="U81" i="1"/>
  <c r="T81" i="1"/>
  <c r="U54" i="1"/>
  <c r="T54" i="1"/>
  <c r="U48" i="1"/>
  <c r="U47" i="1"/>
  <c r="U45" i="1"/>
  <c r="T157" i="1" l="1"/>
  <c r="Q157" i="1"/>
  <c r="M157" i="1"/>
  <c r="Q85" i="1"/>
  <c r="Q83" i="1"/>
  <c r="R100" i="1"/>
  <c r="Q100" i="1"/>
  <c r="R81" i="1"/>
  <c r="Q81" i="1"/>
  <c r="R138" i="1" l="1"/>
  <c r="Q54" i="1"/>
  <c r="Q88" i="1"/>
  <c r="R88" i="1"/>
  <c r="R54" i="1"/>
  <c r="R57" i="1"/>
  <c r="Q57" i="1"/>
  <c r="R56" i="1"/>
  <c r="Q56" i="1"/>
  <c r="R58" i="1" l="1"/>
  <c r="Q58" i="1"/>
  <c r="R50" i="1" l="1"/>
  <c r="R49" i="1"/>
  <c r="R48" i="1"/>
  <c r="R47" i="1"/>
  <c r="R46" i="1"/>
  <c r="R45" i="1"/>
  <c r="R44" i="1"/>
  <c r="N81" i="1"/>
  <c r="J81" i="1"/>
  <c r="N54" i="1"/>
  <c r="N58" i="1"/>
  <c r="N56" i="1"/>
  <c r="J58" i="1"/>
  <c r="J54" i="1"/>
  <c r="N46" i="1"/>
  <c r="N45" i="1"/>
  <c r="N44" i="1"/>
  <c r="N43" i="1"/>
  <c r="N91" i="1"/>
  <c r="N90" i="1"/>
  <c r="J91" i="1"/>
  <c r="J90" i="1"/>
  <c r="N92" i="1"/>
  <c r="J92" i="1"/>
  <c r="O107" i="1"/>
  <c r="K107" i="1"/>
  <c r="M104" i="1" l="1"/>
  <c r="M103" i="1"/>
  <c r="M100" i="1" s="1"/>
  <c r="M92" i="1"/>
  <c r="M58" i="1" s="1"/>
  <c r="M88" i="1"/>
  <c r="M91" i="1"/>
  <c r="M90" i="1"/>
  <c r="M85" i="1"/>
  <c r="M84" i="1"/>
  <c r="M81" i="1" s="1"/>
  <c r="I81" i="1"/>
  <c r="I85" i="1"/>
  <c r="I84" i="1"/>
  <c r="I58" i="1"/>
  <c r="I54" i="1"/>
  <c r="M54" i="1"/>
  <c r="M162" i="1"/>
  <c r="I162" i="1"/>
  <c r="I104" i="1"/>
  <c r="I100" i="1"/>
  <c r="I92" i="1"/>
  <c r="I88" i="1"/>
  <c r="I91" i="1"/>
  <c r="I90" i="1"/>
  <c r="N88" i="1"/>
  <c r="J88" i="1"/>
  <c r="M119" i="1"/>
  <c r="N138" i="1"/>
  <c r="J138" i="1"/>
  <c r="N50" i="1"/>
  <c r="M49" i="1"/>
  <c r="J40" i="1"/>
  <c r="J43" i="1"/>
  <c r="J44" i="1"/>
  <c r="J45" i="1"/>
  <c r="J46" i="1"/>
  <c r="J48" i="1"/>
  <c r="N48" i="1"/>
  <c r="M43" i="1"/>
  <c r="T26" i="1" l="1"/>
  <c r="Q26" i="1"/>
  <c r="M26" i="1"/>
  <c r="T170" i="1" l="1"/>
  <c r="T169" i="1"/>
  <c r="T167" i="1"/>
  <c r="M170" i="1"/>
  <c r="M169" i="1"/>
  <c r="M167" i="1"/>
  <c r="I169" i="1"/>
  <c r="F169" i="1"/>
  <c r="J37" i="1"/>
  <c r="I26" i="1"/>
  <c r="F175" i="1"/>
  <c r="F174" i="1"/>
  <c r="H175" i="1"/>
  <c r="G175" i="1"/>
  <c r="H174" i="1"/>
  <c r="G174" i="1"/>
  <c r="F170" i="1"/>
  <c r="F168" i="1"/>
  <c r="F167" i="1"/>
  <c r="F162" i="1"/>
  <c r="G156" i="1"/>
  <c r="F156" i="1"/>
  <c r="G138" i="1"/>
  <c r="F115" i="1"/>
  <c r="G100" i="1"/>
  <c r="F100" i="1"/>
  <c r="F96" i="1"/>
  <c r="F95" i="1"/>
  <c r="F94" i="1"/>
  <c r="G92" i="1"/>
  <c r="F92" i="1"/>
  <c r="G88" i="1"/>
  <c r="F88" i="1"/>
  <c r="G85" i="1"/>
  <c r="G81" i="1" s="1"/>
  <c r="G83" i="1"/>
  <c r="F81" i="1"/>
  <c r="G66" i="1"/>
  <c r="G64" i="1"/>
  <c r="G63" i="1"/>
  <c r="F63" i="1"/>
  <c r="F62" i="1"/>
  <c r="G61" i="1"/>
  <c r="F61" i="1"/>
  <c r="G60" i="1"/>
  <c r="F60" i="1"/>
  <c r="G58" i="1"/>
  <c r="F58" i="1"/>
  <c r="G57" i="1"/>
  <c r="G56" i="1"/>
  <c r="F56" i="1"/>
  <c r="F54" i="1" s="1"/>
  <c r="G54" i="1"/>
  <c r="G47" i="1"/>
  <c r="G46" i="1"/>
  <c r="G45" i="1"/>
  <c r="G44" i="1"/>
  <c r="F28" i="1"/>
  <c r="F26" i="1"/>
  <c r="C175" i="1"/>
  <c r="C174" i="1"/>
  <c r="E175" i="1"/>
  <c r="D175" i="1"/>
  <c r="E174" i="1"/>
  <c r="D174" i="1"/>
  <c r="C157" i="1"/>
  <c r="C141" i="1"/>
  <c r="D138" i="1"/>
  <c r="C132" i="1"/>
  <c r="C119" i="1"/>
  <c r="C104" i="1"/>
  <c r="C100" i="1" s="1"/>
  <c r="D96" i="1"/>
  <c r="C96" i="1"/>
  <c r="D95" i="1"/>
  <c r="C95" i="1"/>
  <c r="C94" i="1"/>
  <c r="C92" i="1"/>
  <c r="D91" i="1"/>
  <c r="C91" i="1"/>
  <c r="D90" i="1"/>
  <c r="C90" i="1"/>
  <c r="D88" i="1"/>
  <c r="C88" i="1"/>
  <c r="D85" i="1"/>
  <c r="C84" i="1"/>
  <c r="C83" i="1"/>
  <c r="D81" i="1"/>
  <c r="D79" i="1"/>
  <c r="C79" i="1"/>
  <c r="D78" i="1"/>
  <c r="C78" i="1"/>
  <c r="C77" i="1"/>
  <c r="D75" i="1"/>
  <c r="C72" i="1"/>
  <c r="D71" i="1"/>
  <c r="C71" i="1"/>
  <c r="D70" i="1"/>
  <c r="C70" i="1"/>
  <c r="D68" i="1"/>
  <c r="C68" i="1"/>
  <c r="C63" i="1"/>
  <c r="D62" i="1"/>
  <c r="C62" i="1"/>
  <c r="D61" i="1"/>
  <c r="C61" i="1"/>
  <c r="D60" i="1"/>
  <c r="C60" i="1"/>
  <c r="D58" i="1"/>
  <c r="C58" i="1"/>
  <c r="D54" i="1"/>
  <c r="C54" i="1"/>
  <c r="D49" i="1"/>
  <c r="D48" i="1"/>
  <c r="D46" i="1"/>
  <c r="D45" i="1"/>
  <c r="D44" i="1"/>
  <c r="C26" i="1"/>
  <c r="C85" i="1" l="1"/>
  <c r="C81" i="1" s="1"/>
  <c r="P153" i="1" l="1"/>
  <c r="P135" i="1"/>
  <c r="P127" i="1"/>
  <c r="P107" i="1"/>
  <c r="P101" i="1"/>
  <c r="P93" i="1"/>
  <c r="P89" i="1"/>
  <c r="P82" i="1"/>
  <c r="P76" i="1"/>
  <c r="P69" i="1"/>
  <c r="P59" i="1"/>
  <c r="P55" i="1"/>
  <c r="P35" i="1"/>
  <c r="P23" i="1"/>
  <c r="P9" i="1"/>
  <c r="C126" i="1" l="1"/>
  <c r="E137" i="1" l="1"/>
  <c r="M126" i="1"/>
  <c r="M124" i="1" s="1"/>
  <c r="C124" i="1"/>
  <c r="V17" i="1" l="1"/>
  <c r="S17" i="1"/>
  <c r="O17" i="1"/>
  <c r="K17" i="1"/>
  <c r="H16" i="1"/>
  <c r="H17" i="1"/>
  <c r="E17" i="1"/>
  <c r="P17" i="1" l="1"/>
  <c r="L17" i="1"/>
  <c r="L161" i="1"/>
  <c r="U173" i="1" l="1"/>
  <c r="T173" i="1"/>
  <c r="R173" i="1"/>
  <c r="Q173" i="1"/>
  <c r="N173" i="1"/>
  <c r="M173" i="1"/>
  <c r="J173" i="1"/>
  <c r="I173" i="1"/>
  <c r="G173" i="1"/>
  <c r="F173" i="1"/>
  <c r="D173" i="1"/>
  <c r="C173" i="1"/>
  <c r="Q165" i="1" l="1"/>
  <c r="M165" i="1"/>
  <c r="C87" i="1" l="1"/>
  <c r="C67" i="1" l="1"/>
  <c r="I87" i="1"/>
  <c r="T165" i="1" l="1"/>
  <c r="I165" i="1"/>
  <c r="F165" i="1"/>
  <c r="C165" i="1"/>
  <c r="L165" i="1" l="1"/>
  <c r="V21" i="1" l="1"/>
  <c r="V20" i="1"/>
  <c r="S20" i="1"/>
  <c r="S19" i="1"/>
  <c r="O20" i="1"/>
  <c r="K20" i="1"/>
  <c r="H20" i="1"/>
  <c r="E20" i="1"/>
  <c r="U172" i="1"/>
  <c r="T172" i="1"/>
  <c r="R172" i="1"/>
  <c r="Q172" i="1"/>
  <c r="N172" i="1"/>
  <c r="M172" i="1"/>
  <c r="J172" i="1"/>
  <c r="I172" i="1"/>
  <c r="G172" i="1"/>
  <c r="F172" i="1"/>
  <c r="D172" i="1"/>
  <c r="C172" i="1"/>
  <c r="U171" i="1"/>
  <c r="T171" i="1"/>
  <c r="R171" i="1"/>
  <c r="Q171" i="1"/>
  <c r="N171" i="1"/>
  <c r="M171" i="1"/>
  <c r="J171" i="1"/>
  <c r="I171" i="1"/>
  <c r="G171" i="1"/>
  <c r="F171" i="1"/>
  <c r="D171" i="1"/>
  <c r="C171" i="1"/>
  <c r="L170" i="1"/>
  <c r="L169" i="1"/>
  <c r="L168" i="1"/>
  <c r="L167" i="1"/>
  <c r="T166" i="1"/>
  <c r="M166" i="1"/>
  <c r="I166" i="1"/>
  <c r="F166" i="1"/>
  <c r="C166" i="1"/>
  <c r="L164" i="1"/>
  <c r="L163" i="1"/>
  <c r="L162" i="1"/>
  <c r="V156" i="1"/>
  <c r="S156" i="1"/>
  <c r="O156" i="1"/>
  <c r="K156" i="1"/>
  <c r="H156" i="1"/>
  <c r="E156" i="1"/>
  <c r="V155" i="1"/>
  <c r="S155" i="1"/>
  <c r="O155" i="1"/>
  <c r="K155" i="1"/>
  <c r="H155" i="1"/>
  <c r="E155" i="1"/>
  <c r="U151" i="1"/>
  <c r="T151" i="1"/>
  <c r="R151" i="1"/>
  <c r="Q151" i="1"/>
  <c r="N151" i="1"/>
  <c r="M151" i="1"/>
  <c r="J151" i="1"/>
  <c r="I151" i="1"/>
  <c r="G151" i="1"/>
  <c r="F151" i="1"/>
  <c r="D151" i="1"/>
  <c r="C151" i="1"/>
  <c r="V150" i="1"/>
  <c r="S150" i="1"/>
  <c r="O150" i="1"/>
  <c r="K150" i="1"/>
  <c r="H150" i="1"/>
  <c r="E150" i="1"/>
  <c r="V149" i="1"/>
  <c r="S149" i="1"/>
  <c r="O149" i="1"/>
  <c r="K149" i="1"/>
  <c r="H149" i="1"/>
  <c r="E149" i="1"/>
  <c r="V148" i="1"/>
  <c r="S148" i="1"/>
  <c r="O148" i="1"/>
  <c r="K148" i="1"/>
  <c r="H148" i="1"/>
  <c r="E148" i="1"/>
  <c r="V147" i="1"/>
  <c r="S147" i="1"/>
  <c r="O147" i="1"/>
  <c r="K147" i="1"/>
  <c r="H147" i="1"/>
  <c r="E147" i="1"/>
  <c r="V146" i="1"/>
  <c r="S146" i="1"/>
  <c r="O146" i="1"/>
  <c r="K146" i="1"/>
  <c r="H146" i="1"/>
  <c r="E146" i="1"/>
  <c r="V145" i="1"/>
  <c r="S145" i="1"/>
  <c r="O145" i="1"/>
  <c r="K145" i="1"/>
  <c r="H145" i="1"/>
  <c r="E145" i="1"/>
  <c r="V144" i="1"/>
  <c r="S144" i="1"/>
  <c r="O144" i="1"/>
  <c r="K144" i="1"/>
  <c r="H144" i="1"/>
  <c r="E144" i="1"/>
  <c r="V143" i="1"/>
  <c r="S143" i="1"/>
  <c r="O143" i="1"/>
  <c r="K143" i="1"/>
  <c r="H143" i="1"/>
  <c r="E143" i="1"/>
  <c r="V142" i="1"/>
  <c r="S142" i="1"/>
  <c r="O142" i="1"/>
  <c r="K142" i="1"/>
  <c r="H142" i="1"/>
  <c r="E142" i="1"/>
  <c r="V141" i="1"/>
  <c r="S141" i="1"/>
  <c r="O141" i="1"/>
  <c r="K141" i="1"/>
  <c r="H141" i="1"/>
  <c r="E141" i="1"/>
  <c r="V140" i="1"/>
  <c r="S140" i="1"/>
  <c r="O140" i="1"/>
  <c r="K140" i="1"/>
  <c r="H140" i="1"/>
  <c r="E140" i="1"/>
  <c r="V139" i="1"/>
  <c r="S139" i="1"/>
  <c r="O139" i="1"/>
  <c r="K139" i="1"/>
  <c r="H139" i="1"/>
  <c r="E139" i="1"/>
  <c r="V138" i="1"/>
  <c r="S138" i="1"/>
  <c r="O138" i="1"/>
  <c r="K138" i="1"/>
  <c r="H138" i="1"/>
  <c r="E138" i="1"/>
  <c r="V137" i="1"/>
  <c r="S137" i="1"/>
  <c r="O137" i="1"/>
  <c r="K137" i="1"/>
  <c r="H137" i="1"/>
  <c r="U136" i="1"/>
  <c r="T136" i="1"/>
  <c r="R136" i="1"/>
  <c r="Q136" i="1"/>
  <c r="N136" i="1"/>
  <c r="M136" i="1"/>
  <c r="J136" i="1"/>
  <c r="I136" i="1"/>
  <c r="G136" i="1"/>
  <c r="F136" i="1"/>
  <c r="D136" i="1"/>
  <c r="C136" i="1"/>
  <c r="Q124" i="1"/>
  <c r="T116" i="1"/>
  <c r="Q116" i="1"/>
  <c r="M116" i="1"/>
  <c r="I116" i="1"/>
  <c r="F116" i="1"/>
  <c r="C116" i="1"/>
  <c r="T111" i="1"/>
  <c r="Q111" i="1"/>
  <c r="M111" i="1"/>
  <c r="I111" i="1"/>
  <c r="F111" i="1"/>
  <c r="C111" i="1"/>
  <c r="V104" i="1"/>
  <c r="S104" i="1"/>
  <c r="O104" i="1"/>
  <c r="K104" i="1"/>
  <c r="H104" i="1"/>
  <c r="E104" i="1"/>
  <c r="V103" i="1"/>
  <c r="S103" i="1"/>
  <c r="O103" i="1"/>
  <c r="K103" i="1"/>
  <c r="H103" i="1"/>
  <c r="E103" i="1"/>
  <c r="V102" i="1"/>
  <c r="S102" i="1"/>
  <c r="O102" i="1"/>
  <c r="K102" i="1"/>
  <c r="H102" i="1"/>
  <c r="E102" i="1"/>
  <c r="V100" i="1"/>
  <c r="S100" i="1"/>
  <c r="O100" i="1"/>
  <c r="K100" i="1"/>
  <c r="H100" i="1"/>
  <c r="E100" i="1"/>
  <c r="V99" i="1"/>
  <c r="S99" i="1"/>
  <c r="O99" i="1"/>
  <c r="K99" i="1"/>
  <c r="H99" i="1"/>
  <c r="E99" i="1"/>
  <c r="V98" i="1"/>
  <c r="S98" i="1"/>
  <c r="O98" i="1"/>
  <c r="K98" i="1"/>
  <c r="H98" i="1"/>
  <c r="E98" i="1"/>
  <c r="V97" i="1"/>
  <c r="S97" i="1"/>
  <c r="O97" i="1"/>
  <c r="K97" i="1"/>
  <c r="H97" i="1"/>
  <c r="E97" i="1"/>
  <c r="V96" i="1"/>
  <c r="S96" i="1"/>
  <c r="O96" i="1"/>
  <c r="K96" i="1"/>
  <c r="H96" i="1"/>
  <c r="E96" i="1"/>
  <c r="V95" i="1"/>
  <c r="S95" i="1"/>
  <c r="O95" i="1"/>
  <c r="K95" i="1"/>
  <c r="H95" i="1"/>
  <c r="E95" i="1"/>
  <c r="V94" i="1"/>
  <c r="S94" i="1"/>
  <c r="O94" i="1"/>
  <c r="K94" i="1"/>
  <c r="H94" i="1"/>
  <c r="E94" i="1"/>
  <c r="V92" i="1"/>
  <c r="S92" i="1"/>
  <c r="O92" i="1"/>
  <c r="K92" i="1"/>
  <c r="H92" i="1"/>
  <c r="E92" i="1"/>
  <c r="V91" i="1"/>
  <c r="S91" i="1"/>
  <c r="O91" i="1"/>
  <c r="K91" i="1"/>
  <c r="H91" i="1"/>
  <c r="E91" i="1"/>
  <c r="V90" i="1"/>
  <c r="S90" i="1"/>
  <c r="O90" i="1"/>
  <c r="K90" i="1"/>
  <c r="H90" i="1"/>
  <c r="E90" i="1"/>
  <c r="V88" i="1"/>
  <c r="S88" i="1"/>
  <c r="O88" i="1"/>
  <c r="K88" i="1"/>
  <c r="H88" i="1"/>
  <c r="E88" i="1"/>
  <c r="U87" i="1"/>
  <c r="T87" i="1"/>
  <c r="R87" i="1"/>
  <c r="Q87" i="1"/>
  <c r="N87" i="1"/>
  <c r="M87" i="1"/>
  <c r="J87" i="1"/>
  <c r="G87" i="1"/>
  <c r="F87" i="1"/>
  <c r="D87" i="1"/>
  <c r="V86" i="1"/>
  <c r="S86" i="1"/>
  <c r="O86" i="1"/>
  <c r="K86" i="1"/>
  <c r="H86" i="1"/>
  <c r="E86" i="1"/>
  <c r="V85" i="1"/>
  <c r="S85" i="1"/>
  <c r="O85" i="1"/>
  <c r="K85" i="1"/>
  <c r="H85" i="1"/>
  <c r="E85" i="1"/>
  <c r="V84" i="1"/>
  <c r="S84" i="1"/>
  <c r="O84" i="1"/>
  <c r="K84" i="1"/>
  <c r="H84" i="1"/>
  <c r="E84" i="1"/>
  <c r="V83" i="1"/>
  <c r="S83" i="1"/>
  <c r="O83" i="1"/>
  <c r="K83" i="1"/>
  <c r="H83" i="1"/>
  <c r="E83" i="1"/>
  <c r="V81" i="1"/>
  <c r="S81" i="1"/>
  <c r="O81" i="1"/>
  <c r="K81" i="1"/>
  <c r="H81" i="1"/>
  <c r="E81" i="1"/>
  <c r="V80" i="1"/>
  <c r="S80" i="1"/>
  <c r="O80" i="1"/>
  <c r="K80" i="1"/>
  <c r="H80" i="1"/>
  <c r="E80" i="1"/>
  <c r="V79" i="1"/>
  <c r="S79" i="1"/>
  <c r="O79" i="1"/>
  <c r="K79" i="1"/>
  <c r="H79" i="1"/>
  <c r="E79" i="1"/>
  <c r="V78" i="1"/>
  <c r="S78" i="1"/>
  <c r="O78" i="1"/>
  <c r="K78" i="1"/>
  <c r="H78" i="1"/>
  <c r="E78" i="1"/>
  <c r="V77" i="1"/>
  <c r="S77" i="1"/>
  <c r="O77" i="1"/>
  <c r="K77" i="1"/>
  <c r="H77" i="1"/>
  <c r="E77" i="1"/>
  <c r="V75" i="1"/>
  <c r="S75" i="1"/>
  <c r="O75" i="1"/>
  <c r="K75" i="1"/>
  <c r="H75" i="1"/>
  <c r="E75" i="1"/>
  <c r="V74" i="1"/>
  <c r="S74" i="1"/>
  <c r="O74" i="1"/>
  <c r="K74" i="1"/>
  <c r="H74" i="1"/>
  <c r="E74" i="1"/>
  <c r="V73" i="1"/>
  <c r="S73" i="1"/>
  <c r="O73" i="1"/>
  <c r="K73" i="1"/>
  <c r="H73" i="1"/>
  <c r="E73" i="1"/>
  <c r="V72" i="1"/>
  <c r="S72" i="1"/>
  <c r="O72" i="1"/>
  <c r="K72" i="1"/>
  <c r="H72" i="1"/>
  <c r="E72" i="1"/>
  <c r="V71" i="1"/>
  <c r="S71" i="1"/>
  <c r="O71" i="1"/>
  <c r="K71" i="1"/>
  <c r="H71" i="1"/>
  <c r="E71" i="1"/>
  <c r="V70" i="1"/>
  <c r="S70" i="1"/>
  <c r="O70" i="1"/>
  <c r="K70" i="1"/>
  <c r="H70" i="1"/>
  <c r="E70" i="1"/>
  <c r="V68" i="1"/>
  <c r="S68" i="1"/>
  <c r="O68" i="1"/>
  <c r="K68" i="1"/>
  <c r="H68" i="1"/>
  <c r="E68" i="1"/>
  <c r="U67" i="1"/>
  <c r="T67" i="1"/>
  <c r="R67" i="1"/>
  <c r="Q67" i="1"/>
  <c r="N67" i="1"/>
  <c r="M67" i="1"/>
  <c r="J67" i="1"/>
  <c r="I67" i="1"/>
  <c r="G67" i="1"/>
  <c r="F67" i="1"/>
  <c r="D67" i="1"/>
  <c r="V66" i="1"/>
  <c r="S66" i="1"/>
  <c r="O66" i="1"/>
  <c r="P66" i="1" s="1"/>
  <c r="K66" i="1"/>
  <c r="H66" i="1"/>
  <c r="E66" i="1"/>
  <c r="V65" i="1"/>
  <c r="S65" i="1"/>
  <c r="O65" i="1"/>
  <c r="K65" i="1"/>
  <c r="H65" i="1"/>
  <c r="E65" i="1"/>
  <c r="V64" i="1"/>
  <c r="S64" i="1"/>
  <c r="O64" i="1"/>
  <c r="K64" i="1"/>
  <c r="H64" i="1"/>
  <c r="E64" i="1"/>
  <c r="V63" i="1"/>
  <c r="S63" i="1"/>
  <c r="O63" i="1"/>
  <c r="P63" i="1" s="1"/>
  <c r="K63" i="1"/>
  <c r="H63" i="1"/>
  <c r="E63" i="1"/>
  <c r="V62" i="1"/>
  <c r="S62" i="1"/>
  <c r="O62" i="1"/>
  <c r="P62" i="1" s="1"/>
  <c r="K62" i="1"/>
  <c r="H62" i="1"/>
  <c r="E62" i="1"/>
  <c r="V61" i="1"/>
  <c r="S61" i="1"/>
  <c r="O61" i="1"/>
  <c r="P61" i="1" s="1"/>
  <c r="K61" i="1"/>
  <c r="H61" i="1"/>
  <c r="E61" i="1"/>
  <c r="V60" i="1"/>
  <c r="S60" i="1"/>
  <c r="O60" i="1"/>
  <c r="P60" i="1" s="1"/>
  <c r="K60" i="1"/>
  <c r="H60" i="1"/>
  <c r="E60" i="1"/>
  <c r="V58" i="1"/>
  <c r="S58" i="1"/>
  <c r="O58" i="1"/>
  <c r="P58" i="1" s="1"/>
  <c r="K58" i="1"/>
  <c r="H58" i="1"/>
  <c r="E58" i="1"/>
  <c r="V57" i="1"/>
  <c r="S57" i="1"/>
  <c r="O57" i="1"/>
  <c r="P57" i="1" s="1"/>
  <c r="K57" i="1"/>
  <c r="H57" i="1"/>
  <c r="E57" i="1"/>
  <c r="V56" i="1"/>
  <c r="S56" i="1"/>
  <c r="O56" i="1"/>
  <c r="P56" i="1" s="1"/>
  <c r="K56" i="1"/>
  <c r="H56" i="1"/>
  <c r="E56" i="1"/>
  <c r="V54" i="1"/>
  <c r="S54" i="1"/>
  <c r="O54" i="1"/>
  <c r="P54" i="1" s="1"/>
  <c r="K54" i="1"/>
  <c r="H54" i="1"/>
  <c r="E54" i="1"/>
  <c r="U53" i="1"/>
  <c r="T53" i="1"/>
  <c r="R53" i="1"/>
  <c r="Q53" i="1"/>
  <c r="N53" i="1"/>
  <c r="M53" i="1"/>
  <c r="J53" i="1"/>
  <c r="I53" i="1"/>
  <c r="I52" i="1" s="1"/>
  <c r="I105" i="1" s="1"/>
  <c r="G53" i="1"/>
  <c r="F53" i="1"/>
  <c r="D53" i="1"/>
  <c r="D52" i="1" s="1"/>
  <c r="D105" i="1" s="1"/>
  <c r="C53" i="1"/>
  <c r="C52" i="1" s="1"/>
  <c r="C105" i="1" s="1"/>
  <c r="V50" i="1"/>
  <c r="S50" i="1"/>
  <c r="O50" i="1"/>
  <c r="K50" i="1"/>
  <c r="H50" i="1"/>
  <c r="E50" i="1"/>
  <c r="V49" i="1"/>
  <c r="S49" i="1"/>
  <c r="O49" i="1"/>
  <c r="K49" i="1"/>
  <c r="H49" i="1"/>
  <c r="E49" i="1"/>
  <c r="V48" i="1"/>
  <c r="S48" i="1"/>
  <c r="O48" i="1"/>
  <c r="K48" i="1"/>
  <c r="H48" i="1"/>
  <c r="E48" i="1"/>
  <c r="V47" i="1"/>
  <c r="S47" i="1"/>
  <c r="O47" i="1"/>
  <c r="K47" i="1"/>
  <c r="H47" i="1"/>
  <c r="E47" i="1"/>
  <c r="V46" i="1"/>
  <c r="S46" i="1"/>
  <c r="O46" i="1"/>
  <c r="K46" i="1"/>
  <c r="H46" i="1"/>
  <c r="E46" i="1"/>
  <c r="V45" i="1"/>
  <c r="S45" i="1"/>
  <c r="O45" i="1"/>
  <c r="K45" i="1"/>
  <c r="H45" i="1"/>
  <c r="E45" i="1"/>
  <c r="V44" i="1"/>
  <c r="S44" i="1"/>
  <c r="O44" i="1"/>
  <c r="K44" i="1"/>
  <c r="H44" i="1"/>
  <c r="E44" i="1"/>
  <c r="V43" i="1"/>
  <c r="S43" i="1"/>
  <c r="O43" i="1"/>
  <c r="K43" i="1"/>
  <c r="H43" i="1"/>
  <c r="E43" i="1"/>
  <c r="V42" i="1"/>
  <c r="S42" i="1"/>
  <c r="O42" i="1"/>
  <c r="K42" i="1"/>
  <c r="H42" i="1"/>
  <c r="E42" i="1"/>
  <c r="V41" i="1"/>
  <c r="S41" i="1"/>
  <c r="O41" i="1"/>
  <c r="K41" i="1"/>
  <c r="H41" i="1"/>
  <c r="E41" i="1"/>
  <c r="T40" i="1"/>
  <c r="V40" i="1" s="1"/>
  <c r="Q40" i="1"/>
  <c r="S40" i="1" s="1"/>
  <c r="M40" i="1"/>
  <c r="O40" i="1" s="1"/>
  <c r="I40" i="1"/>
  <c r="K40" i="1" s="1"/>
  <c r="F40" i="1"/>
  <c r="H40" i="1" s="1"/>
  <c r="C40" i="1"/>
  <c r="E40" i="1" s="1"/>
  <c r="U39" i="1"/>
  <c r="U38" i="1" s="1"/>
  <c r="R39" i="1"/>
  <c r="R38" i="1" s="1"/>
  <c r="N39" i="1"/>
  <c r="N38" i="1" s="1"/>
  <c r="J39" i="1"/>
  <c r="J38" i="1" s="1"/>
  <c r="G39" i="1"/>
  <c r="G38" i="1" s="1"/>
  <c r="D39" i="1"/>
  <c r="D38" i="1" s="1"/>
  <c r="V37" i="1"/>
  <c r="S37" i="1"/>
  <c r="O37" i="1"/>
  <c r="K37" i="1"/>
  <c r="H37" i="1"/>
  <c r="E37" i="1"/>
  <c r="V36" i="1"/>
  <c r="S36" i="1"/>
  <c r="O36" i="1"/>
  <c r="K36" i="1"/>
  <c r="H36" i="1"/>
  <c r="E36" i="1"/>
  <c r="V34" i="1"/>
  <c r="S34" i="1"/>
  <c r="O34" i="1"/>
  <c r="K34" i="1"/>
  <c r="H34" i="1"/>
  <c r="E34" i="1"/>
  <c r="V33" i="1"/>
  <c r="S33" i="1"/>
  <c r="O33" i="1"/>
  <c r="K33" i="1"/>
  <c r="H33" i="1"/>
  <c r="E33" i="1"/>
  <c r="V32" i="1"/>
  <c r="S32" i="1"/>
  <c r="O32" i="1"/>
  <c r="K32" i="1"/>
  <c r="H32" i="1"/>
  <c r="E32" i="1"/>
  <c r="V31" i="1"/>
  <c r="S31" i="1"/>
  <c r="O31" i="1"/>
  <c r="K31" i="1"/>
  <c r="H31" i="1"/>
  <c r="E31" i="1"/>
  <c r="V30" i="1"/>
  <c r="S30" i="1"/>
  <c r="O30" i="1"/>
  <c r="K30" i="1"/>
  <c r="H30" i="1"/>
  <c r="E30" i="1"/>
  <c r="V29" i="1"/>
  <c r="S29" i="1"/>
  <c r="O29" i="1"/>
  <c r="K29" i="1"/>
  <c r="H29" i="1"/>
  <c r="E29" i="1"/>
  <c r="V28" i="1"/>
  <c r="S28" i="1"/>
  <c r="O28" i="1"/>
  <c r="K28" i="1"/>
  <c r="H28" i="1"/>
  <c r="E28" i="1"/>
  <c r="V27" i="1"/>
  <c r="S27" i="1"/>
  <c r="O27" i="1"/>
  <c r="K27" i="1"/>
  <c r="H27" i="1"/>
  <c r="E27" i="1"/>
  <c r="V26" i="1"/>
  <c r="S26" i="1"/>
  <c r="O26" i="1"/>
  <c r="K26" i="1"/>
  <c r="H26" i="1"/>
  <c r="E26" i="1"/>
  <c r="V25" i="1"/>
  <c r="S25" i="1"/>
  <c r="O25" i="1"/>
  <c r="P25" i="1" s="1"/>
  <c r="K25" i="1"/>
  <c r="H25" i="1"/>
  <c r="E25" i="1"/>
  <c r="V24" i="1"/>
  <c r="S24" i="1"/>
  <c r="O24" i="1"/>
  <c r="P24" i="1" s="1"/>
  <c r="K24" i="1"/>
  <c r="H24" i="1"/>
  <c r="E24" i="1"/>
  <c r="U22" i="1"/>
  <c r="U7" i="1" s="1"/>
  <c r="T22" i="1"/>
  <c r="R22" i="1"/>
  <c r="R7" i="1" s="1"/>
  <c r="Q22" i="1"/>
  <c r="N22" i="1"/>
  <c r="N7" i="1" s="1"/>
  <c r="M22" i="1"/>
  <c r="J22" i="1"/>
  <c r="J7" i="1" s="1"/>
  <c r="I22" i="1"/>
  <c r="G22" i="1"/>
  <c r="G7" i="1" s="1"/>
  <c r="F22" i="1"/>
  <c r="D22" i="1"/>
  <c r="D7" i="1" s="1"/>
  <c r="C22" i="1"/>
  <c r="S21" i="1"/>
  <c r="O21" i="1"/>
  <c r="K21" i="1"/>
  <c r="H21" i="1"/>
  <c r="E21" i="1"/>
  <c r="V19" i="1"/>
  <c r="O19" i="1"/>
  <c r="P19" i="1" s="1"/>
  <c r="K19" i="1"/>
  <c r="H19" i="1"/>
  <c r="E19" i="1"/>
  <c r="V18" i="1"/>
  <c r="S18" i="1"/>
  <c r="O18" i="1"/>
  <c r="K18" i="1"/>
  <c r="H18" i="1"/>
  <c r="E18" i="1"/>
  <c r="V16" i="1"/>
  <c r="S16" i="1"/>
  <c r="O16" i="1"/>
  <c r="P16" i="1" s="1"/>
  <c r="K16" i="1"/>
  <c r="E16" i="1"/>
  <c r="V15" i="1"/>
  <c r="S15" i="1"/>
  <c r="O15" i="1"/>
  <c r="K15" i="1"/>
  <c r="H15" i="1"/>
  <c r="E15" i="1"/>
  <c r="V14" i="1"/>
  <c r="S14" i="1"/>
  <c r="O14" i="1"/>
  <c r="K14" i="1"/>
  <c r="H14" i="1"/>
  <c r="E14" i="1"/>
  <c r="V13" i="1"/>
  <c r="S13" i="1"/>
  <c r="O13" i="1"/>
  <c r="K13" i="1"/>
  <c r="H13" i="1"/>
  <c r="E13" i="1"/>
  <c r="U12" i="1"/>
  <c r="T12" i="1"/>
  <c r="R12" i="1"/>
  <c r="Q12" i="1"/>
  <c r="Q8" i="1" s="1"/>
  <c r="N12" i="1"/>
  <c r="M12" i="1"/>
  <c r="J12" i="1"/>
  <c r="I12" i="1"/>
  <c r="I8" i="1" s="1"/>
  <c r="G12" i="1"/>
  <c r="F12" i="1"/>
  <c r="F8" i="1" s="1"/>
  <c r="F7" i="1" s="1"/>
  <c r="D12" i="1"/>
  <c r="C12" i="1"/>
  <c r="C8" i="1" s="1"/>
  <c r="E8" i="1" s="1"/>
  <c r="V11" i="1"/>
  <c r="S11" i="1"/>
  <c r="O11" i="1"/>
  <c r="K11" i="1"/>
  <c r="H11" i="1"/>
  <c r="E11" i="1"/>
  <c r="V10" i="1"/>
  <c r="S10" i="1"/>
  <c r="O10" i="1"/>
  <c r="K10" i="1"/>
  <c r="H10" i="1"/>
  <c r="E10" i="1"/>
  <c r="T52" i="1" l="1"/>
  <c r="T105" i="1" s="1"/>
  <c r="M52" i="1"/>
  <c r="M105" i="1" s="1"/>
  <c r="P65" i="1"/>
  <c r="P41" i="1"/>
  <c r="P43" i="1"/>
  <c r="P45" i="1"/>
  <c r="P47" i="1"/>
  <c r="P49" i="1"/>
  <c r="P40" i="1"/>
  <c r="P42" i="1"/>
  <c r="P44" i="1"/>
  <c r="P46" i="1"/>
  <c r="P48" i="1"/>
  <c r="P50" i="1"/>
  <c r="P27" i="1"/>
  <c r="P29" i="1"/>
  <c r="P31" i="1"/>
  <c r="P33" i="1"/>
  <c r="P36" i="1"/>
  <c r="P26" i="1"/>
  <c r="P28" i="1"/>
  <c r="P30" i="1"/>
  <c r="P32" i="1"/>
  <c r="P34" i="1"/>
  <c r="P37" i="1"/>
  <c r="P18" i="1"/>
  <c r="P11" i="1"/>
  <c r="P14" i="1"/>
  <c r="P21" i="1"/>
  <c r="S173" i="1"/>
  <c r="P68" i="1"/>
  <c r="P71" i="1"/>
  <c r="P73" i="1"/>
  <c r="P75" i="1"/>
  <c r="P78" i="1"/>
  <c r="P80" i="1"/>
  <c r="P83" i="1"/>
  <c r="P85" i="1"/>
  <c r="P90" i="1"/>
  <c r="P92" i="1"/>
  <c r="P95" i="1"/>
  <c r="P97" i="1"/>
  <c r="P99" i="1"/>
  <c r="P102" i="1"/>
  <c r="P104" i="1"/>
  <c r="P138" i="1"/>
  <c r="P140" i="1"/>
  <c r="P142" i="1"/>
  <c r="P144" i="1"/>
  <c r="P146" i="1"/>
  <c r="P148" i="1"/>
  <c r="P150" i="1"/>
  <c r="P156" i="1"/>
  <c r="G52" i="1"/>
  <c r="G105" i="1" s="1"/>
  <c r="G152" i="1" s="1"/>
  <c r="O173" i="1"/>
  <c r="P64" i="1"/>
  <c r="P10" i="1"/>
  <c r="P13" i="1"/>
  <c r="P15" i="1"/>
  <c r="P70" i="1"/>
  <c r="P72" i="1"/>
  <c r="P74" i="1"/>
  <c r="P77" i="1"/>
  <c r="P79" i="1"/>
  <c r="P81" i="1"/>
  <c r="P84" i="1"/>
  <c r="P86" i="1"/>
  <c r="P88" i="1"/>
  <c r="P91" i="1"/>
  <c r="P94" i="1"/>
  <c r="P96" i="1"/>
  <c r="P98" i="1"/>
  <c r="P100" i="1"/>
  <c r="P103" i="1"/>
  <c r="O151" i="1"/>
  <c r="P137" i="1"/>
  <c r="P139" i="1"/>
  <c r="P141" i="1"/>
  <c r="P143" i="1"/>
  <c r="P145" i="1"/>
  <c r="P147" i="1"/>
  <c r="P149" i="1"/>
  <c r="P155" i="1"/>
  <c r="P20" i="1"/>
  <c r="M8" i="1"/>
  <c r="M7" i="1" s="1"/>
  <c r="O7" i="1" s="1"/>
  <c r="T8" i="1"/>
  <c r="V8" i="1" s="1"/>
  <c r="Q52" i="1"/>
  <c r="Q105" i="1" s="1"/>
  <c r="Q152" i="1" s="1"/>
  <c r="E173" i="1"/>
  <c r="K173" i="1"/>
  <c r="F52" i="1"/>
  <c r="F105" i="1" s="1"/>
  <c r="F152" i="1" s="1"/>
  <c r="N52" i="1"/>
  <c r="N105" i="1" s="1"/>
  <c r="N152" i="1" s="1"/>
  <c r="U52" i="1"/>
  <c r="U105" i="1" s="1"/>
  <c r="C39" i="1"/>
  <c r="E39" i="1" s="1"/>
  <c r="H22" i="1"/>
  <c r="V22" i="1"/>
  <c r="I39" i="1"/>
  <c r="K39" i="1" s="1"/>
  <c r="J6" i="1"/>
  <c r="J51" i="1" s="1"/>
  <c r="E12" i="1"/>
  <c r="D152" i="1"/>
  <c r="K12" i="1"/>
  <c r="S12" i="1"/>
  <c r="G6" i="1"/>
  <c r="G51" i="1" s="1"/>
  <c r="U6" i="1"/>
  <c r="U51" i="1" s="1"/>
  <c r="N6" i="1"/>
  <c r="N51" i="1" s="1"/>
  <c r="D6" i="1"/>
  <c r="D51" i="1" s="1"/>
  <c r="D106" i="1" s="1"/>
  <c r="S151" i="1"/>
  <c r="J52" i="1"/>
  <c r="J105" i="1" s="1"/>
  <c r="J152" i="1" s="1"/>
  <c r="R52" i="1"/>
  <c r="R105" i="1" s="1"/>
  <c r="R152" i="1" s="1"/>
  <c r="H173" i="1"/>
  <c r="V173" i="1"/>
  <c r="L146" i="1"/>
  <c r="R6" i="1"/>
  <c r="R51" i="1" s="1"/>
  <c r="E22" i="1"/>
  <c r="K22" i="1"/>
  <c r="S22" i="1"/>
  <c r="L41" i="1"/>
  <c r="L49" i="1"/>
  <c r="E171" i="1"/>
  <c r="F39" i="1"/>
  <c r="S171" i="1"/>
  <c r="S172" i="1"/>
  <c r="L14" i="1"/>
  <c r="H171" i="1"/>
  <c r="H172" i="1"/>
  <c r="K171" i="1"/>
  <c r="E172" i="1"/>
  <c r="K172" i="1"/>
  <c r="V171" i="1"/>
  <c r="V172" i="1"/>
  <c r="O171" i="1"/>
  <c r="P171" i="1" s="1"/>
  <c r="O172" i="1"/>
  <c r="L148" i="1"/>
  <c r="L43" i="1"/>
  <c r="L45" i="1"/>
  <c r="L46" i="1"/>
  <c r="L47" i="1"/>
  <c r="L21" i="1"/>
  <c r="L25" i="1"/>
  <c r="L27" i="1"/>
  <c r="L30" i="1"/>
  <c r="L31" i="1"/>
  <c r="L32" i="1"/>
  <c r="L33" i="1"/>
  <c r="L34" i="1"/>
  <c r="L36" i="1"/>
  <c r="L37" i="1"/>
  <c r="H136" i="1"/>
  <c r="O136" i="1"/>
  <c r="P136" i="1" s="1"/>
  <c r="V136" i="1"/>
  <c r="L42" i="1"/>
  <c r="L147" i="1"/>
  <c r="L13" i="1"/>
  <c r="L18" i="1"/>
  <c r="L19" i="1"/>
  <c r="H151" i="1"/>
  <c r="V151" i="1"/>
  <c r="L50" i="1"/>
  <c r="L10" i="1"/>
  <c r="L15" i="1"/>
  <c r="L16" i="1"/>
  <c r="L44" i="1"/>
  <c r="L48" i="1"/>
  <c r="O22" i="1"/>
  <c r="Q39" i="1"/>
  <c r="Q38" i="1" s="1"/>
  <c r="S38" i="1" s="1"/>
  <c r="H12" i="1"/>
  <c r="O12" i="1"/>
  <c r="P12" i="1" s="1"/>
  <c r="V12" i="1"/>
  <c r="E136" i="1"/>
  <c r="K136" i="1"/>
  <c r="S136" i="1"/>
  <c r="E151" i="1"/>
  <c r="K151" i="1"/>
  <c r="L138" i="1"/>
  <c r="L139" i="1"/>
  <c r="L140" i="1"/>
  <c r="L141" i="1"/>
  <c r="L142" i="1"/>
  <c r="L143" i="1"/>
  <c r="L144" i="1"/>
  <c r="L145" i="1"/>
  <c r="L24" i="1"/>
  <c r="L40" i="1"/>
  <c r="E53" i="1"/>
  <c r="L155" i="1"/>
  <c r="L156" i="1"/>
  <c r="L166" i="1"/>
  <c r="H53" i="1"/>
  <c r="K53" i="1"/>
  <c r="O53" i="1"/>
  <c r="S53" i="1"/>
  <c r="V53" i="1"/>
  <c r="L54" i="1"/>
  <c r="L57" i="1"/>
  <c r="L58" i="1"/>
  <c r="L61" i="1"/>
  <c r="L62" i="1"/>
  <c r="L63" i="1"/>
  <c r="L64" i="1"/>
  <c r="L65" i="1"/>
  <c r="L66" i="1"/>
  <c r="E67" i="1"/>
  <c r="H67" i="1"/>
  <c r="K67" i="1"/>
  <c r="L67" i="1" s="1"/>
  <c r="O67" i="1"/>
  <c r="S67" i="1"/>
  <c r="V67" i="1"/>
  <c r="L68" i="1"/>
  <c r="L70" i="1"/>
  <c r="L71" i="1"/>
  <c r="L72" i="1"/>
  <c r="L73" i="1"/>
  <c r="L74" i="1"/>
  <c r="L75" i="1"/>
  <c r="L77" i="1"/>
  <c r="L78" i="1"/>
  <c r="L79" i="1"/>
  <c r="L80" i="1"/>
  <c r="L81" i="1"/>
  <c r="L83" i="1"/>
  <c r="L84" i="1"/>
  <c r="L85" i="1"/>
  <c r="L86" i="1"/>
  <c r="E87" i="1"/>
  <c r="H87" i="1"/>
  <c r="K87" i="1"/>
  <c r="O87" i="1"/>
  <c r="S87" i="1"/>
  <c r="V87" i="1"/>
  <c r="L88" i="1"/>
  <c r="L90" i="1"/>
  <c r="L91" i="1"/>
  <c r="L92" i="1"/>
  <c r="L97" i="1"/>
  <c r="L98" i="1"/>
  <c r="L99" i="1"/>
  <c r="L100" i="1"/>
  <c r="L102" i="1"/>
  <c r="L103" i="1"/>
  <c r="L104" i="1"/>
  <c r="L137" i="1"/>
  <c r="L20" i="1"/>
  <c r="L12" i="1"/>
  <c r="C152" i="1"/>
  <c r="E105" i="1"/>
  <c r="E52" i="1"/>
  <c r="I152" i="1"/>
  <c r="T152" i="1"/>
  <c r="M39" i="1"/>
  <c r="T39" i="1"/>
  <c r="M152" i="1"/>
  <c r="L56" i="1"/>
  <c r="L60" i="1"/>
  <c r="L95" i="1"/>
  <c r="L96" i="1"/>
  <c r="L149" i="1"/>
  <c r="L150" i="1"/>
  <c r="V105" i="1" l="1"/>
  <c r="U152" i="1"/>
  <c r="V52" i="1"/>
  <c r="O105" i="1"/>
  <c r="O152" i="1" s="1"/>
  <c r="N106" i="1"/>
  <c r="K105" i="1"/>
  <c r="K152" i="1" s="1"/>
  <c r="K52" i="1"/>
  <c r="L52" i="1" s="1"/>
  <c r="O52" i="1"/>
  <c r="P52" i="1" s="1"/>
  <c r="T7" i="1"/>
  <c r="V7" i="1" s="1"/>
  <c r="H52" i="1"/>
  <c r="P172" i="1"/>
  <c r="L173" i="1"/>
  <c r="P22" i="1"/>
  <c r="P87" i="1"/>
  <c r="L39" i="1"/>
  <c r="O8" i="1"/>
  <c r="P8" i="1" s="1"/>
  <c r="P105" i="1"/>
  <c r="H105" i="1"/>
  <c r="H152" i="1" s="1"/>
  <c r="P53" i="1"/>
  <c r="U106" i="1"/>
  <c r="P67" i="1"/>
  <c r="G106" i="1"/>
  <c r="P151" i="1"/>
  <c r="P173" i="1"/>
  <c r="I38" i="1"/>
  <c r="K38" i="1" s="1"/>
  <c r="C38" i="1"/>
  <c r="E38" i="1" s="1"/>
  <c r="L53" i="1"/>
  <c r="C7" i="1"/>
  <c r="E7" i="1" s="1"/>
  <c r="P7" i="1" s="1"/>
  <c r="L171" i="1"/>
  <c r="S52" i="1"/>
  <c r="S105" i="1"/>
  <c r="S152" i="1" s="1"/>
  <c r="J106" i="1"/>
  <c r="L22" i="1"/>
  <c r="L151" i="1"/>
  <c r="R106" i="1"/>
  <c r="S39" i="1"/>
  <c r="L136" i="1"/>
  <c r="L87" i="1"/>
  <c r="L172" i="1"/>
  <c r="H39" i="1"/>
  <c r="F38" i="1"/>
  <c r="H38" i="1" s="1"/>
  <c r="E152" i="1"/>
  <c r="K8" i="1"/>
  <c r="L8" i="1" s="1"/>
  <c r="I7" i="1"/>
  <c r="S8" i="1"/>
  <c r="Q7" i="1"/>
  <c r="H8" i="1"/>
  <c r="V39" i="1"/>
  <c r="T38" i="1"/>
  <c r="V152" i="1"/>
  <c r="O39" i="1"/>
  <c r="P39" i="1" s="1"/>
  <c r="M38" i="1"/>
  <c r="L105" i="1" l="1"/>
  <c r="C6" i="1"/>
  <c r="L38" i="1"/>
  <c r="P152" i="1"/>
  <c r="C51" i="1"/>
  <c r="E6" i="1"/>
  <c r="E51" i="1" s="1"/>
  <c r="E106" i="1" s="1"/>
  <c r="K7" i="1"/>
  <c r="L7" i="1" s="1"/>
  <c r="I6" i="1"/>
  <c r="S7" i="1"/>
  <c r="Q6" i="1"/>
  <c r="H7" i="1"/>
  <c r="F6" i="1"/>
  <c r="V38" i="1"/>
  <c r="T6" i="1"/>
  <c r="O38" i="1"/>
  <c r="P38" i="1" s="1"/>
  <c r="M6" i="1"/>
  <c r="C106" i="1" l="1"/>
  <c r="C110" i="1"/>
  <c r="C108" i="1" s="1"/>
  <c r="I51" i="1"/>
  <c r="K6" i="1"/>
  <c r="F51" i="1"/>
  <c r="H6" i="1"/>
  <c r="H51" i="1" s="1"/>
  <c r="H106" i="1" s="1"/>
  <c r="Q51" i="1"/>
  <c r="S6" i="1"/>
  <c r="S51" i="1" s="1"/>
  <c r="M51" i="1"/>
  <c r="O6" i="1"/>
  <c r="T51" i="1"/>
  <c r="V6" i="1"/>
  <c r="O51" i="1" l="1"/>
  <c r="P51" i="1" s="1"/>
  <c r="P6" i="1"/>
  <c r="L6" i="1"/>
  <c r="K51" i="1"/>
  <c r="I106" i="1"/>
  <c r="I110" i="1"/>
  <c r="I108" i="1" s="1"/>
  <c r="Q106" i="1"/>
  <c r="S106" i="1" s="1"/>
  <c r="Q110" i="1"/>
  <c r="Q108" i="1" s="1"/>
  <c r="F106" i="1"/>
  <c r="F110" i="1"/>
  <c r="F108" i="1" s="1"/>
  <c r="T106" i="1"/>
  <c r="V106" i="1" s="1"/>
  <c r="T134" i="1" s="1"/>
  <c r="T126" i="1" s="1"/>
  <c r="T124" i="1" s="1"/>
  <c r="T110" i="1"/>
  <c r="T108" i="1" s="1"/>
  <c r="V51" i="1"/>
  <c r="M106" i="1"/>
  <c r="O106" i="1" s="1"/>
  <c r="P106" i="1" s="1"/>
  <c r="M110" i="1"/>
  <c r="M108" i="1" s="1"/>
  <c r="L51" i="1" l="1"/>
  <c r="K106" i="1"/>
</calcChain>
</file>

<file path=xl/sharedStrings.xml><?xml version="1.0" encoding="utf-8"?>
<sst xmlns="http://schemas.openxmlformats.org/spreadsheetml/2006/main" count="808" uniqueCount="231">
  <si>
    <t>тыс.руб.</t>
  </si>
  <si>
    <t>№ п/п</t>
  </si>
  <si>
    <t>ПОКАЗАТЕЛИ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</si>
  <si>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</si>
  <si>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</si>
  <si>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</si>
  <si>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</si>
  <si>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</si>
  <si>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</si>
  <si>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</si>
  <si>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</si>
  <si>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</si>
  <si>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</si>
  <si>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</si>
  <si>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</si>
  <si>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</si>
  <si>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</si>
  <si>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</si>
  <si>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</si>
  <si>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</si>
  <si>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</si>
  <si>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</si>
  <si>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</si>
  <si>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</si>
  <si>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</si>
  <si>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</si>
  <si>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</si>
  <si>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</si>
  <si>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</si>
  <si>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</si>
  <si>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</si>
  <si>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</si>
  <si>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</si>
  <si>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</si>
  <si>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</si>
  <si>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</si>
  <si>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</si>
  <si>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</si>
  <si>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</si>
  <si>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</si>
  <si>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</si>
  <si>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</si>
  <si>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</si>
  <si>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</si>
  <si>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</si>
  <si>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</si>
  <si>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</si>
  <si>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</si>
  <si>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</si>
  <si>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</si>
  <si>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</si>
  <si>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</si>
  <si>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</si>
  <si>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</si>
  <si>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</si>
  <si>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</si>
  <si>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</si>
  <si>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</si>
  <si>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</si>
  <si>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</si>
  <si>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</si>
  <si>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</si>
  <si>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</si>
  <si>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</si>
  <si>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</si>
  <si>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</si>
  <si>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</si>
  <si>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</si>
  <si>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</si>
  <si>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</si>
  <si>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</si>
  <si>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</si>
  <si>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</si>
  <si>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</si>
  <si>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</si>
  <si>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</si>
  <si>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</si>
  <si>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</si>
  <si>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</si>
  <si>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</si>
  <si>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</si>
  <si>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</si>
  <si>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</si>
  <si>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</si>
  <si>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</si>
  <si>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</si>
  <si>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</si>
  <si>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</si>
  <si>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</si>
  <si>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</si>
  <si>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</si>
  <si>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</si>
  <si>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</si>
  <si>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</si>
  <si>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</si>
  <si>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</si>
  <si>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</si>
  <si>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</si>
  <si>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</si>
  <si>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</si>
  <si>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</si>
  <si>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</si>
  <si>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</si>
  <si>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</si>
  <si>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</si>
  <si>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</si>
  <si>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</si>
  <si>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</si>
  <si>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</si>
  <si>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</si>
  <si>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</si>
  <si>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</si>
  <si>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</si>
  <si>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</si>
  <si>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</si>
  <si>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</si>
  <si>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</si>
  <si>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</si>
  <si>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</si>
  <si>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</si>
  <si>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</si>
  <si>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</si>
  <si>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</si>
  <si>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</si>
  <si>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</si>
  <si>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</si>
  <si>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</si>
  <si>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</si>
  <si>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</si>
  <si>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</si>
  <si>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</si>
  <si>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</si>
  <si>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</si>
  <si>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</si>
  <si>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</si>
  <si>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</si>
  <si>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</si>
  <si>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</si>
  <si>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</si>
  <si>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</si>
  <si>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</si>
  <si>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</si>
  <si>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</si>
  <si>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</si>
  <si>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</si>
  <si>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</si>
  <si>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</si>
  <si>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</si>
  <si>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</si>
  <si>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</si>
  <si>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</si>
  <si>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</si>
  <si>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</si>
  <si>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</si>
  <si>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</si>
  <si>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</si>
  <si>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</si>
  <si>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</si>
  <si>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</si>
  <si>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</si>
  <si>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</si>
  <si>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</si>
  <si>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</si>
  <si>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</si>
  <si>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</si>
  <si>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</si>
  <si>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</si>
  <si>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</si>
  <si>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</si>
  <si>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</si>
  <si>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</si>
  <si>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</si>
  <si>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</si>
  <si>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</si>
  <si>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</si>
  <si>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</si>
  <si>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</si>
  <si>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</si>
  <si>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</si>
  <si>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</si>
  <si>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</si>
  <si>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</si>
  <si>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</si>
  <si>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</si>
  <si>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</si>
  <si>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</si>
  <si>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</si>
  <si>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</si>
  <si>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</si>
  <si>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</si>
  <si>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</si>
  <si>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</si>
  <si>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</si>
  <si>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</si>
  <si>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</si>
  <si>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</si>
  <si>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</si>
  <si>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</si>
  <si>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</si>
  <si>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</si>
  <si>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</si>
  <si>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</si>
  <si>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</si>
  <si>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</si>
  <si>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</si>
  <si>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</si>
  <si>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</si>
  <si>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</si>
  <si>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</si>
  <si>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</si>
  <si>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</si>
  <si>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</si>
  <si>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2025 год</t>
  </si>
  <si>
    <t>Туристический налог</t>
  </si>
  <si>
    <r>
      <t xml:space="preserve">Остатки бюджетных средств на отчетную дату </t>
    </r>
    <r>
      <rPr>
        <sz val="8"/>
        <rFont val="Times New Roman"/>
        <family val="1"/>
        <charset val="204"/>
      </rPr>
      <t>(в соотвествии со строкой 10800  формы 0503387M)</t>
    </r>
  </si>
  <si>
    <r>
      <t xml:space="preserve">целевые </t>
    </r>
    <r>
      <rPr>
        <sz val="8"/>
        <rFont val="Times New Roman"/>
        <family val="1"/>
        <charset val="204"/>
      </rPr>
      <t>(в соотвествии со строкой 10800  формы )</t>
    </r>
  </si>
  <si>
    <r>
      <t xml:space="preserve">нецелевые </t>
    </r>
    <r>
      <rPr>
        <sz val="8"/>
        <rFont val="Times New Roman"/>
        <family val="1"/>
        <charset val="204"/>
      </rPr>
      <t>(строка 10800 формы  "минус" строка 10810 )</t>
    </r>
  </si>
  <si>
    <t>- за счет привлечения остатков средств бюджетных и автономных учреждений (строка 10852 формы   )</t>
  </si>
  <si>
    <t>- за счет привлечения остатков средств участников казначейского сопровождения (строка 10853 формы)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</si>
  <si>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</si>
  <si>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</si>
  <si>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- прочие остатки</t>
  </si>
  <si>
    <t>Темп роста к  исполнению 2024. без ЦС</t>
  </si>
  <si>
    <t>Исполнено за 2025 год</t>
  </si>
  <si>
    <t>Первоначальный план на 2026 год</t>
  </si>
  <si>
    <t>Ожидаемая оценка исполнения за январь 2026 год</t>
  </si>
  <si>
    <t>Исполнение за 2024 год</t>
  </si>
  <si>
    <t>2024 год</t>
  </si>
  <si>
    <t>Паспорт муниципального образования Печенгский муниципальный округ по исполнению бюджета на "01" января 2026 года</t>
  </si>
  <si>
    <t xml:space="preserve">"23" января  2026 г. </t>
  </si>
  <si>
    <t>Исполнитель: зам.начальника финансового управления -начальник бюджетного отдела  ___________ Н.А.Пикина, 881554-50270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</si>
</sst>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color rgb="FF00B05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1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49" fontId="40" fillId="0" borderId="3" xfId="0" applyNumberFormat="1" applyFont="1" applyFill="1" applyBorder="1" applyAlignment="1" applyProtection="1">
      <alignment horizontal="justify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41" fillId="0" borderId="3" xfId="0" applyNumberFormat="1" applyFont="1" applyFill="1" applyBorder="1" applyAlignment="1" applyProtection="1">
      <alignment vertical="center" wrapText="1"/>
      <protection locked="0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3" fontId="6" fillId="7" borderId="3" xfId="0" applyNumberFormat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0"/>
  <sheetViews>
    <sheetView tabSelected="1" view="pageBreakPreview" zoomScale="90" zoomScaleNormal="100" zoomScaleSheetLayoutView="90" workbookViewId="0">
      <pane xSplit="2" ySplit="6" topLeftCell="C157" activePane="bottomRight" state="frozen"/>
      <selection pane="topRight" activeCell="C1" sqref="C1"/>
      <selection pane="bottomLeft" activeCell="A7" sqref="A7"/>
      <selection pane="bottomRight" activeCell="M169" sqref="M169"/>
    </sheetView>
  </sheetViews>
  <sheetFormatPr defaultRowHeight="15" x14ac:dyDescent="0.25"/>
  <cols>
    <col min="1" max="1" width="4.7109375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1" width="12.42578125" customWidth="1"/>
    <col min="13" max="22" width="11" customWidth="1"/>
  </cols>
  <sheetData>
    <row r="1" spans="1:22" ht="18.75" x14ac:dyDescent="0.25">
      <c r="A1" s="1"/>
      <c r="B1" s="2"/>
      <c r="C1" s="149" t="s">
        <v>228</v>
      </c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3"/>
      <c r="U1" s="4" t="s">
        <v>0</v>
      </c>
      <c r="V1" s="3"/>
    </row>
    <row r="2" spans="1:22" x14ac:dyDescent="0.25">
      <c r="A2" s="150" t="s">
        <v>1</v>
      </c>
      <c r="B2" s="153" t="s">
        <v>2</v>
      </c>
      <c r="C2" s="154" t="s">
        <v>227</v>
      </c>
      <c r="D2" s="155"/>
      <c r="E2" s="155"/>
      <c r="F2" s="154" t="s">
        <v>212</v>
      </c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</row>
    <row r="3" spans="1:22" ht="24" customHeight="1" x14ac:dyDescent="0.25">
      <c r="A3" s="151"/>
      <c r="B3" s="153"/>
      <c r="C3" s="156" t="s">
        <v>226</v>
      </c>
      <c r="D3" s="156"/>
      <c r="E3" s="156"/>
      <c r="F3" s="157" t="s">
        <v>3</v>
      </c>
      <c r="G3" s="157"/>
      <c r="H3" s="157"/>
      <c r="I3" s="157" t="s">
        <v>4</v>
      </c>
      <c r="J3" s="157"/>
      <c r="K3" s="157"/>
      <c r="L3" s="168" t="s">
        <v>222</v>
      </c>
      <c r="M3" s="160" t="s">
        <v>223</v>
      </c>
      <c r="N3" s="161"/>
      <c r="O3" s="162"/>
      <c r="P3" s="168" t="s">
        <v>222</v>
      </c>
      <c r="Q3" s="160" t="s">
        <v>224</v>
      </c>
      <c r="R3" s="161"/>
      <c r="S3" s="162"/>
      <c r="T3" s="163" t="s">
        <v>225</v>
      </c>
      <c r="U3" s="164"/>
      <c r="V3" s="165"/>
    </row>
    <row r="4" spans="1:22" ht="15" customHeight="1" x14ac:dyDescent="0.25">
      <c r="A4" s="151"/>
      <c r="B4" s="153"/>
      <c r="C4" s="156" t="s">
        <v>5</v>
      </c>
      <c r="D4" s="156" t="s">
        <v>6</v>
      </c>
      <c r="E4" s="156"/>
      <c r="F4" s="170" t="s">
        <v>5</v>
      </c>
      <c r="G4" s="157" t="s">
        <v>6</v>
      </c>
      <c r="H4" s="157"/>
      <c r="I4" s="170" t="s">
        <v>5</v>
      </c>
      <c r="J4" s="157" t="s">
        <v>6</v>
      </c>
      <c r="K4" s="157"/>
      <c r="L4" s="169"/>
      <c r="M4" s="158" t="s">
        <v>5</v>
      </c>
      <c r="N4" s="166" t="s">
        <v>7</v>
      </c>
      <c r="O4" s="167"/>
      <c r="P4" s="169"/>
      <c r="Q4" s="158" t="s">
        <v>5</v>
      </c>
      <c r="R4" s="166" t="s">
        <v>7</v>
      </c>
      <c r="S4" s="167"/>
      <c r="T4" s="158" t="s">
        <v>5</v>
      </c>
      <c r="U4" s="166" t="s">
        <v>7</v>
      </c>
      <c r="V4" s="167"/>
    </row>
    <row r="5" spans="1:22" ht="38.25" x14ac:dyDescent="0.25">
      <c r="A5" s="152"/>
      <c r="B5" s="153"/>
      <c r="C5" s="156"/>
      <c r="D5" s="5" t="s">
        <v>202</v>
      </c>
      <c r="E5" s="6" t="s">
        <v>8</v>
      </c>
      <c r="F5" s="170"/>
      <c r="G5" s="7" t="s">
        <v>202</v>
      </c>
      <c r="H5" s="8" t="s">
        <v>8</v>
      </c>
      <c r="I5" s="170"/>
      <c r="J5" s="7" t="s">
        <v>202</v>
      </c>
      <c r="K5" s="8" t="s">
        <v>8</v>
      </c>
      <c r="L5" s="169"/>
      <c r="M5" s="159"/>
      <c r="N5" s="7" t="s">
        <v>202</v>
      </c>
      <c r="O5" s="8" t="s">
        <v>9</v>
      </c>
      <c r="P5" s="169"/>
      <c r="Q5" s="159"/>
      <c r="R5" s="7" t="s">
        <v>202</v>
      </c>
      <c r="S5" s="8" t="s">
        <v>9</v>
      </c>
      <c r="T5" s="159"/>
      <c r="U5" s="7" t="s">
        <v>202</v>
      </c>
      <c r="V5" s="8" t="s">
        <v>9</v>
      </c>
    </row>
    <row r="6" spans="1:22" x14ac:dyDescent="0.25">
      <c r="A6" s="9" t="s">
        <v>10</v>
      </c>
      <c r="B6" s="10" t="s">
        <v>11</v>
      </c>
      <c r="C6" s="11">
        <f>C7+C38</f>
        <v>3840283.8824300002</v>
      </c>
      <c r="D6" s="11">
        <f>D7+D38</f>
        <v>2308541.6885099998</v>
      </c>
      <c r="E6" s="11">
        <f>C6-D6</f>
        <v>1531742.1939200005</v>
      </c>
      <c r="F6" s="11">
        <f>F7+F38</f>
        <v>3994461.72768</v>
      </c>
      <c r="G6" s="11">
        <f>G7+G38</f>
        <v>2473144.59968</v>
      </c>
      <c r="H6" s="11">
        <f>F6-G6</f>
        <v>1521317.128</v>
      </c>
      <c r="I6" s="11">
        <f>I7+I38</f>
        <v>4143532.674315</v>
      </c>
      <c r="J6" s="11">
        <f>J7+J38</f>
        <v>2488301.58262</v>
      </c>
      <c r="K6" s="11">
        <f>I6-J6</f>
        <v>1655231.091695</v>
      </c>
      <c r="L6" s="12">
        <f>K6/E6</f>
        <v>1.080619896915531</v>
      </c>
      <c r="M6" s="11">
        <f>M7+M38</f>
        <v>3967497.9819609998</v>
      </c>
      <c r="N6" s="11">
        <f>N7+N38</f>
        <v>2187565.83439</v>
      </c>
      <c r="O6" s="11">
        <f>M6-N6</f>
        <v>1779932.1475709998</v>
      </c>
      <c r="P6" s="11">
        <f t="shared" ref="P6:P37" si="0">O6/E6</f>
        <v>1.1620311529160381</v>
      </c>
      <c r="Q6" s="11">
        <f>Q7+Q38</f>
        <v>5163427.6932399999</v>
      </c>
      <c r="R6" s="11">
        <f>R7+R38</f>
        <v>2853299.1055100001</v>
      </c>
      <c r="S6" s="11">
        <f>Q6-R6</f>
        <v>2310128.5877299998</v>
      </c>
      <c r="T6" s="11">
        <f>T7+T38</f>
        <v>97607.05</v>
      </c>
      <c r="U6" s="11">
        <f>U7+U38</f>
        <v>52372</v>
      </c>
      <c r="V6" s="11">
        <f>T6-U6</f>
        <v>45235.05</v>
      </c>
    </row>
    <row r="7" spans="1:22" x14ac:dyDescent="0.25">
      <c r="A7" s="13" t="s">
        <v>12</v>
      </c>
      <c r="B7" s="14" t="s">
        <v>13</v>
      </c>
      <c r="C7" s="15">
        <f>C8+C22</f>
        <v>1211737.1154500002</v>
      </c>
      <c r="D7" s="15">
        <f>D8+D22</f>
        <v>2528.2227699999999</v>
      </c>
      <c r="E7" s="16">
        <f t="shared" ref="E7:E100" si="1">C7-D7</f>
        <v>1209208.89268</v>
      </c>
      <c r="F7" s="15">
        <f>F8+F22</f>
        <v>1174194.6299999999</v>
      </c>
      <c r="G7" s="15">
        <f>G8+G22</f>
        <v>0</v>
      </c>
      <c r="H7" s="16">
        <f t="shared" ref="H7:H50" si="2">F7-G7</f>
        <v>1174194.6299999999</v>
      </c>
      <c r="I7" s="15">
        <f>I8+I22</f>
        <v>1304366.664535</v>
      </c>
      <c r="J7" s="15">
        <f>J8+J22</f>
        <v>-451.51988999999998</v>
      </c>
      <c r="K7" s="16">
        <f t="shared" ref="K7:K50" si="3">I7-J7</f>
        <v>1304818.1844250001</v>
      </c>
      <c r="L7" s="17">
        <f>K7/E7</f>
        <v>1.079067638622057</v>
      </c>
      <c r="M7" s="15">
        <f>M8+M22</f>
        <v>1392431.09977</v>
      </c>
      <c r="N7" s="15">
        <f>N8+N22</f>
        <v>-451.51988999999998</v>
      </c>
      <c r="O7" s="16">
        <f t="shared" ref="O7:O50" si="4">M7-N7</f>
        <v>1392882.6196600001</v>
      </c>
      <c r="P7" s="16">
        <f t="shared" si="0"/>
        <v>1.1518957792089333</v>
      </c>
      <c r="Q7" s="15">
        <f>Q8+Q22</f>
        <v>1938647.53373</v>
      </c>
      <c r="R7" s="15">
        <f>R8+R22</f>
        <v>0</v>
      </c>
      <c r="S7" s="16">
        <f t="shared" ref="S7:S50" si="5">Q7-R7</f>
        <v>1938647.53373</v>
      </c>
      <c r="T7" s="15">
        <f>T8+T22</f>
        <v>45235.05</v>
      </c>
      <c r="U7" s="15">
        <f>U8+U22</f>
        <v>0</v>
      </c>
      <c r="V7" s="16">
        <f t="shared" ref="V7:V50" si="6">T7-U7</f>
        <v>45235.05</v>
      </c>
    </row>
    <row r="8" spans="1:22" ht="24.75" customHeight="1" x14ac:dyDescent="0.25">
      <c r="A8" s="18" t="s">
        <v>14</v>
      </c>
      <c r="B8" s="19" t="s">
        <v>15</v>
      </c>
      <c r="C8" s="20">
        <f>C10+C11+C12+C18+C19+C20+C21+C17</f>
        <v>966497.87342000008</v>
      </c>
      <c r="D8" s="20"/>
      <c r="E8" s="16">
        <f>C8-D8</f>
        <v>966497.87342000008</v>
      </c>
      <c r="F8" s="20">
        <f>F10+F11+F12+F18+F19+F20+F21+F17</f>
        <v>986775.13</v>
      </c>
      <c r="G8" s="20"/>
      <c r="H8" s="16">
        <f t="shared" si="2"/>
        <v>986775.13</v>
      </c>
      <c r="I8" s="20">
        <f>I10+I11+I12+I18+I19+I20+I21+I17</f>
        <v>930207.1772850001</v>
      </c>
      <c r="J8" s="20"/>
      <c r="K8" s="16">
        <f t="shared" si="3"/>
        <v>930207.1772850001</v>
      </c>
      <c r="L8" s="21">
        <f>K8/E8</f>
        <v>0.96245134404012334</v>
      </c>
      <c r="M8" s="27">
        <f>M10+M11+M12+M18+M19+M20+M21+M17</f>
        <v>1009314.8541799999</v>
      </c>
      <c r="N8" s="20"/>
      <c r="O8" s="16">
        <f t="shared" si="4"/>
        <v>1009314.8541799999</v>
      </c>
      <c r="P8" s="16">
        <f t="shared" si="0"/>
        <v>1.0443011639627202</v>
      </c>
      <c r="Q8" s="20">
        <f>Q10+Q11+Q12+Q18+Q19+Q20+Q21+Q17</f>
        <v>910100.39274000004</v>
      </c>
      <c r="R8" s="20"/>
      <c r="S8" s="16">
        <f t="shared" si="5"/>
        <v>910100.39274000004</v>
      </c>
      <c r="T8" s="20">
        <f>T10+T11+T12+T18+T19+T20+T21+T17</f>
        <v>38631</v>
      </c>
      <c r="U8" s="20"/>
      <c r="V8" s="16">
        <f t="shared" si="6"/>
        <v>38631</v>
      </c>
    </row>
    <row r="9" spans="1:22" x14ac:dyDescent="0.25">
      <c r="A9" s="22"/>
      <c r="B9" s="23" t="s">
        <v>16</v>
      </c>
      <c r="C9" s="24"/>
      <c r="D9" s="24"/>
      <c r="E9" s="16"/>
      <c r="F9" s="24"/>
      <c r="G9" s="24"/>
      <c r="H9" s="16"/>
      <c r="I9" s="24"/>
      <c r="J9" s="24"/>
      <c r="K9" s="16"/>
      <c r="L9" s="17"/>
      <c r="M9" s="24"/>
      <c r="N9" s="24"/>
      <c r="O9" s="16"/>
      <c r="P9" s="16" t="e">
        <f t="shared" si="0"/>
        <v>#DIV/0!</v>
      </c>
      <c r="Q9" s="24"/>
      <c r="R9" s="24"/>
      <c r="S9" s="16"/>
      <c r="T9" s="24"/>
      <c r="U9" s="24"/>
      <c r="V9" s="16"/>
    </row>
    <row r="10" spans="1:22" x14ac:dyDescent="0.25">
      <c r="A10" s="22" t="s">
        <v>17</v>
      </c>
      <c r="B10" s="23" t="s">
        <v>18</v>
      </c>
      <c r="C10" s="24">
        <v>757573.18613000005</v>
      </c>
      <c r="D10" s="24"/>
      <c r="E10" s="16">
        <f t="shared" si="1"/>
        <v>757573.18613000005</v>
      </c>
      <c r="F10" s="24">
        <v>754773.2</v>
      </c>
      <c r="G10" s="24"/>
      <c r="H10" s="16">
        <f t="shared" si="2"/>
        <v>754773.2</v>
      </c>
      <c r="I10" s="24">
        <v>810953.60190000001</v>
      </c>
      <c r="J10" s="24"/>
      <c r="K10" s="16">
        <f t="shared" si="3"/>
        <v>810953.60190000001</v>
      </c>
      <c r="L10" s="17">
        <f>K10/E10</f>
        <v>1.0704623879874753</v>
      </c>
      <c r="M10" s="24">
        <v>881784.97496000002</v>
      </c>
      <c r="N10" s="24"/>
      <c r="O10" s="16">
        <f t="shared" si="4"/>
        <v>881784.97496000002</v>
      </c>
      <c r="P10" s="16">
        <f t="shared" si="0"/>
        <v>1.1639601177868051</v>
      </c>
      <c r="Q10" s="24">
        <v>779964.41399999999</v>
      </c>
      <c r="R10" s="24"/>
      <c r="S10" s="16">
        <f t="shared" si="5"/>
        <v>779964.41399999999</v>
      </c>
      <c r="T10" s="24">
        <v>35069</v>
      </c>
      <c r="U10" s="24"/>
      <c r="V10" s="16">
        <f t="shared" si="6"/>
        <v>35069</v>
      </c>
    </row>
    <row r="11" spans="1:22" x14ac:dyDescent="0.25">
      <c r="A11" s="22" t="s">
        <v>19</v>
      </c>
      <c r="B11" s="23" t="s">
        <v>20</v>
      </c>
      <c r="C11" s="24">
        <v>19016.483700000001</v>
      </c>
      <c r="D11" s="24"/>
      <c r="E11" s="16">
        <f t="shared" si="1"/>
        <v>19016.483700000001</v>
      </c>
      <c r="F11" s="24">
        <v>19577.68</v>
      </c>
      <c r="G11" s="24"/>
      <c r="H11" s="16">
        <f t="shared" si="2"/>
        <v>19577.68</v>
      </c>
      <c r="I11" s="24">
        <v>19577.68</v>
      </c>
      <c r="J11" s="24"/>
      <c r="K11" s="16">
        <f t="shared" si="3"/>
        <v>19577.68</v>
      </c>
      <c r="L11" s="17"/>
      <c r="M11" s="24">
        <v>18676.331689999999</v>
      </c>
      <c r="N11" s="24"/>
      <c r="O11" s="16">
        <f t="shared" si="4"/>
        <v>18676.331689999999</v>
      </c>
      <c r="P11" s="16">
        <f t="shared" si="0"/>
        <v>0.98211278092384657</v>
      </c>
      <c r="Q11" s="24">
        <v>19674.099999999999</v>
      </c>
      <c r="R11" s="24"/>
      <c r="S11" s="16">
        <f t="shared" si="5"/>
        <v>19674.099999999999</v>
      </c>
      <c r="T11" s="24">
        <v>1455</v>
      </c>
      <c r="U11" s="24"/>
      <c r="V11" s="16">
        <f t="shared" si="6"/>
        <v>1455</v>
      </c>
    </row>
    <row r="12" spans="1:22" x14ac:dyDescent="0.25">
      <c r="A12" s="22" t="s">
        <v>21</v>
      </c>
      <c r="B12" s="23" t="s">
        <v>22</v>
      </c>
      <c r="C12" s="25">
        <f>SUM(C13:C16)</f>
        <v>164559.06219</v>
      </c>
      <c r="D12" s="25">
        <f>SUM(D13:D16)</f>
        <v>0</v>
      </c>
      <c r="E12" s="16">
        <f>C12-D12</f>
        <v>164559.06219</v>
      </c>
      <c r="F12" s="25">
        <f>SUM(F13:F16)</f>
        <v>191432.62999999998</v>
      </c>
      <c r="G12" s="25">
        <f>SUM(G13:G16)</f>
        <v>0</v>
      </c>
      <c r="H12" s="16">
        <f t="shared" si="2"/>
        <v>191432.62999999998</v>
      </c>
      <c r="I12" s="25">
        <f>SUM(I13:I16)</f>
        <v>59533.991714999996</v>
      </c>
      <c r="J12" s="25">
        <f>SUM(J13:J16)</f>
        <v>0</v>
      </c>
      <c r="K12" s="16">
        <f t="shared" si="3"/>
        <v>59533.991714999996</v>
      </c>
      <c r="L12" s="17">
        <f t="shared" ref="L12:L22" si="7">K12/E12</f>
        <v>0.36177887089719807</v>
      </c>
      <c r="M12" s="25">
        <f>SUM(M13:M16)</f>
        <v>63029.770799999998</v>
      </c>
      <c r="N12" s="25">
        <f>SUM(N13:N16)</f>
        <v>0</v>
      </c>
      <c r="O12" s="16">
        <f t="shared" si="4"/>
        <v>63029.770799999998</v>
      </c>
      <c r="P12" s="16">
        <f t="shared" si="0"/>
        <v>0.38302218037208907</v>
      </c>
      <c r="Q12" s="25">
        <f>SUM(Q13:Q16)</f>
        <v>70810.49149</v>
      </c>
      <c r="R12" s="25">
        <f>SUM(R13:R16)</f>
        <v>0</v>
      </c>
      <c r="S12" s="16">
        <f t="shared" si="5"/>
        <v>70810.49149</v>
      </c>
      <c r="T12" s="25">
        <f>SUM(T13:T16)</f>
        <v>900</v>
      </c>
      <c r="U12" s="25">
        <f>SUM(U13:U16)</f>
        <v>0</v>
      </c>
      <c r="V12" s="16">
        <f t="shared" si="6"/>
        <v>900</v>
      </c>
    </row>
    <row r="13" spans="1:22" ht="26.25" x14ac:dyDescent="0.25">
      <c r="A13" s="22"/>
      <c r="B13" s="23" t="s">
        <v>23</v>
      </c>
      <c r="C13" s="24">
        <v>163158.14778</v>
      </c>
      <c r="D13" s="24"/>
      <c r="E13" s="26">
        <f t="shared" si="1"/>
        <v>163158.14778</v>
      </c>
      <c r="F13" s="24">
        <v>189909.52</v>
      </c>
      <c r="G13" s="24"/>
      <c r="H13" s="26">
        <f t="shared" si="2"/>
        <v>189909.52</v>
      </c>
      <c r="I13" s="24">
        <v>57478.991349999997</v>
      </c>
      <c r="J13" s="24"/>
      <c r="K13" s="26">
        <f t="shared" si="3"/>
        <v>57478.991349999997</v>
      </c>
      <c r="L13" s="17">
        <f t="shared" si="7"/>
        <v>0.35229004577512002</v>
      </c>
      <c r="M13" s="24">
        <v>59178.482279999997</v>
      </c>
      <c r="N13" s="24"/>
      <c r="O13" s="26">
        <f t="shared" si="4"/>
        <v>59178.482279999997</v>
      </c>
      <c r="P13" s="26">
        <f t="shared" si="0"/>
        <v>0.36270626435276387</v>
      </c>
      <c r="Q13" s="24">
        <v>68282.974530000007</v>
      </c>
      <c r="R13" s="24"/>
      <c r="S13" s="26">
        <f t="shared" si="5"/>
        <v>68282.974530000007</v>
      </c>
      <c r="T13" s="24">
        <v>0</v>
      </c>
      <c r="U13" s="24"/>
      <c r="V13" s="26">
        <f t="shared" si="6"/>
        <v>0</v>
      </c>
    </row>
    <row r="14" spans="1:22" ht="26.25" x14ac:dyDescent="0.25">
      <c r="A14" s="22"/>
      <c r="B14" s="23" t="s">
        <v>24</v>
      </c>
      <c r="C14" s="24">
        <v>28.749939999999999</v>
      </c>
      <c r="D14" s="24"/>
      <c r="E14" s="26">
        <f t="shared" si="1"/>
        <v>28.749939999999999</v>
      </c>
      <c r="F14" s="24"/>
      <c r="G14" s="24"/>
      <c r="H14" s="26">
        <f t="shared" si="2"/>
        <v>0</v>
      </c>
      <c r="I14" s="24">
        <v>24.145365000000002</v>
      </c>
      <c r="J14" s="24"/>
      <c r="K14" s="26">
        <f t="shared" si="3"/>
        <v>24.145365000000002</v>
      </c>
      <c r="L14" s="17">
        <f t="shared" si="7"/>
        <v>0.83984053531937819</v>
      </c>
      <c r="M14" s="24">
        <v>23.0745</v>
      </c>
      <c r="N14" s="24"/>
      <c r="O14" s="26">
        <f t="shared" si="4"/>
        <v>23.0745</v>
      </c>
      <c r="P14" s="26">
        <f t="shared" si="0"/>
        <v>0.80259297932447859</v>
      </c>
      <c r="Q14" s="24">
        <v>0</v>
      </c>
      <c r="R14" s="24"/>
      <c r="S14" s="26">
        <f t="shared" si="5"/>
        <v>0</v>
      </c>
      <c r="T14" s="24">
        <v>0</v>
      </c>
      <c r="U14" s="24"/>
      <c r="V14" s="26">
        <f t="shared" si="6"/>
        <v>0</v>
      </c>
    </row>
    <row r="15" spans="1:22" x14ac:dyDescent="0.25">
      <c r="A15" s="22"/>
      <c r="B15" s="23" t="s">
        <v>25</v>
      </c>
      <c r="C15" s="24"/>
      <c r="D15" s="24"/>
      <c r="E15" s="26">
        <f t="shared" si="1"/>
        <v>0</v>
      </c>
      <c r="F15" s="24"/>
      <c r="G15" s="24"/>
      <c r="H15" s="26">
        <f t="shared" si="2"/>
        <v>0</v>
      </c>
      <c r="I15" s="24"/>
      <c r="J15" s="24"/>
      <c r="K15" s="26">
        <f t="shared" si="3"/>
        <v>0</v>
      </c>
      <c r="L15" s="17" t="e">
        <f t="shared" si="7"/>
        <v>#DIV/0!</v>
      </c>
      <c r="M15" s="24">
        <v>0</v>
      </c>
      <c r="N15" s="24"/>
      <c r="O15" s="26">
        <f t="shared" si="4"/>
        <v>0</v>
      </c>
      <c r="P15" s="26" t="e">
        <f t="shared" si="0"/>
        <v>#DIV/0!</v>
      </c>
      <c r="Q15" s="24">
        <v>0</v>
      </c>
      <c r="R15" s="24"/>
      <c r="S15" s="26">
        <f t="shared" si="5"/>
        <v>0</v>
      </c>
      <c r="T15" s="24">
        <v>0</v>
      </c>
      <c r="U15" s="24"/>
      <c r="V15" s="26">
        <f t="shared" si="6"/>
        <v>0</v>
      </c>
    </row>
    <row r="16" spans="1:22" x14ac:dyDescent="0.25">
      <c r="A16" s="22"/>
      <c r="B16" s="23" t="s">
        <v>26</v>
      </c>
      <c r="C16" s="24">
        <v>1372.1644699999999</v>
      </c>
      <c r="D16" s="24"/>
      <c r="E16" s="26">
        <f t="shared" si="1"/>
        <v>1372.1644699999999</v>
      </c>
      <c r="F16" s="24">
        <v>1523.11</v>
      </c>
      <c r="G16" s="24"/>
      <c r="H16" s="26">
        <f t="shared" si="2"/>
        <v>1523.11</v>
      </c>
      <c r="I16" s="24">
        <v>2030.855</v>
      </c>
      <c r="J16" s="24"/>
      <c r="K16" s="26">
        <f t="shared" si="3"/>
        <v>2030.855</v>
      </c>
      <c r="L16" s="17">
        <f t="shared" si="7"/>
        <v>1.4800375934526275</v>
      </c>
      <c r="M16" s="24">
        <v>3828.2140199999999</v>
      </c>
      <c r="N16" s="24"/>
      <c r="O16" s="26">
        <f t="shared" si="4"/>
        <v>3828.2140199999999</v>
      </c>
      <c r="P16" s="26">
        <f t="shared" si="0"/>
        <v>2.78990901141756</v>
      </c>
      <c r="Q16" s="24">
        <v>2527.5169599999999</v>
      </c>
      <c r="R16" s="24"/>
      <c r="S16" s="26">
        <f t="shared" si="5"/>
        <v>2527.5169599999999</v>
      </c>
      <c r="T16" s="24">
        <v>900</v>
      </c>
      <c r="U16" s="24"/>
      <c r="V16" s="26">
        <f t="shared" si="6"/>
        <v>900</v>
      </c>
    </row>
    <row r="17" spans="1:22" x14ac:dyDescent="0.25">
      <c r="A17" s="22" t="s">
        <v>27</v>
      </c>
      <c r="B17" s="23" t="s">
        <v>213</v>
      </c>
      <c r="C17" s="24"/>
      <c r="D17" s="24"/>
      <c r="E17" s="16">
        <f t="shared" si="1"/>
        <v>0</v>
      </c>
      <c r="F17" s="24"/>
      <c r="G17" s="24"/>
      <c r="H17" s="16">
        <f t="shared" si="2"/>
        <v>0</v>
      </c>
      <c r="I17" s="24">
        <v>2802</v>
      </c>
      <c r="J17" s="24"/>
      <c r="K17" s="16">
        <f>I17-J17</f>
        <v>2802</v>
      </c>
      <c r="L17" s="17" t="e">
        <f t="shared" si="7"/>
        <v>#DIV/0!</v>
      </c>
      <c r="M17" s="24">
        <v>2810.19</v>
      </c>
      <c r="N17" s="24"/>
      <c r="O17" s="16">
        <f t="shared" si="4"/>
        <v>2810.19</v>
      </c>
      <c r="P17" s="16" t="e">
        <f t="shared" si="0"/>
        <v>#DIV/0!</v>
      </c>
      <c r="Q17" s="24">
        <v>1829.6064799999999</v>
      </c>
      <c r="R17" s="24"/>
      <c r="S17" s="16">
        <f t="shared" si="5"/>
        <v>1829.6064799999999</v>
      </c>
      <c r="T17" s="24">
        <v>500</v>
      </c>
      <c r="U17" s="24"/>
      <c r="V17" s="16">
        <f t="shared" si="6"/>
        <v>500</v>
      </c>
    </row>
    <row r="18" spans="1:22" x14ac:dyDescent="0.25">
      <c r="A18" s="22" t="s">
        <v>29</v>
      </c>
      <c r="B18" s="23" t="s">
        <v>28</v>
      </c>
      <c r="C18" s="24">
        <v>10746.98929</v>
      </c>
      <c r="D18" s="24"/>
      <c r="E18" s="16">
        <f t="shared" si="1"/>
        <v>10746.98929</v>
      </c>
      <c r="F18" s="24">
        <v>10261.4</v>
      </c>
      <c r="G18" s="24"/>
      <c r="H18" s="16">
        <f t="shared" si="2"/>
        <v>10261.4</v>
      </c>
      <c r="I18" s="24">
        <v>11014.4</v>
      </c>
      <c r="J18" s="24"/>
      <c r="K18" s="16">
        <f>I18-J18</f>
        <v>11014.4</v>
      </c>
      <c r="L18" s="17">
        <f t="shared" si="7"/>
        <v>1.024882383594522</v>
      </c>
      <c r="M18" s="24">
        <v>13153.028910000001</v>
      </c>
      <c r="N18" s="24"/>
      <c r="O18" s="16">
        <f t="shared" si="4"/>
        <v>13153.028910000001</v>
      </c>
      <c r="P18" s="16">
        <f t="shared" si="0"/>
        <v>1.2238803403515814</v>
      </c>
      <c r="Q18" s="24">
        <v>11455.04903</v>
      </c>
      <c r="R18" s="24"/>
      <c r="S18" s="16">
        <f t="shared" si="5"/>
        <v>11455.04903</v>
      </c>
      <c r="T18" s="24">
        <v>550</v>
      </c>
      <c r="U18" s="24"/>
      <c r="V18" s="16">
        <f t="shared" si="6"/>
        <v>550</v>
      </c>
    </row>
    <row r="19" spans="1:22" x14ac:dyDescent="0.25">
      <c r="A19" s="22" t="s">
        <v>31</v>
      </c>
      <c r="B19" s="23" t="s">
        <v>30</v>
      </c>
      <c r="C19" s="24">
        <v>1283.1012000000001</v>
      </c>
      <c r="D19" s="24"/>
      <c r="E19" s="16">
        <f t="shared" si="1"/>
        <v>1283.1012000000001</v>
      </c>
      <c r="F19" s="24">
        <v>1245.95</v>
      </c>
      <c r="G19" s="24"/>
      <c r="H19" s="16">
        <f t="shared" si="2"/>
        <v>1245.95</v>
      </c>
      <c r="I19" s="24">
        <v>1818.45</v>
      </c>
      <c r="J19" s="24"/>
      <c r="K19" s="16">
        <f t="shared" si="3"/>
        <v>1818.45</v>
      </c>
      <c r="L19" s="17">
        <f t="shared" si="7"/>
        <v>1.4172303790223248</v>
      </c>
      <c r="M19" s="24">
        <v>1858.42921</v>
      </c>
      <c r="N19" s="24"/>
      <c r="O19" s="16">
        <f t="shared" si="4"/>
        <v>1858.42921</v>
      </c>
      <c r="P19" s="16">
        <f t="shared" si="0"/>
        <v>1.448388646195639</v>
      </c>
      <c r="Q19" s="24">
        <v>1614.60753</v>
      </c>
      <c r="R19" s="24"/>
      <c r="S19" s="16">
        <f t="shared" si="5"/>
        <v>1614.60753</v>
      </c>
      <c r="T19" s="24">
        <v>7</v>
      </c>
      <c r="U19" s="24"/>
      <c r="V19" s="16">
        <f t="shared" si="6"/>
        <v>7</v>
      </c>
    </row>
    <row r="20" spans="1:22" x14ac:dyDescent="0.25">
      <c r="A20" s="22" t="s">
        <v>33</v>
      </c>
      <c r="B20" s="23" t="s">
        <v>32</v>
      </c>
      <c r="C20" s="24">
        <v>13319.05091</v>
      </c>
      <c r="D20" s="24"/>
      <c r="E20" s="16">
        <f t="shared" si="1"/>
        <v>13319.05091</v>
      </c>
      <c r="F20" s="24">
        <v>9484.27</v>
      </c>
      <c r="G20" s="24"/>
      <c r="H20" s="16">
        <f t="shared" si="2"/>
        <v>9484.27</v>
      </c>
      <c r="I20" s="24">
        <v>24507.053670000001</v>
      </c>
      <c r="J20" s="24"/>
      <c r="K20" s="16">
        <f t="shared" ref="K20" si="8">I20-J20</f>
        <v>24507.053670000001</v>
      </c>
      <c r="L20" s="17">
        <f t="shared" si="7"/>
        <v>1.8399999996696463</v>
      </c>
      <c r="M20" s="24">
        <v>28002.12861</v>
      </c>
      <c r="N20" s="24"/>
      <c r="O20" s="16">
        <f t="shared" si="4"/>
        <v>28002.12861</v>
      </c>
      <c r="P20" s="16">
        <f t="shared" si="0"/>
        <v>2.1024117108056011</v>
      </c>
      <c r="Q20" s="24">
        <v>24752.124210000002</v>
      </c>
      <c r="R20" s="24"/>
      <c r="S20" s="16">
        <f t="shared" si="5"/>
        <v>24752.124210000002</v>
      </c>
      <c r="T20" s="24">
        <v>150</v>
      </c>
      <c r="U20" s="24"/>
      <c r="V20" s="16">
        <f t="shared" si="6"/>
        <v>150</v>
      </c>
    </row>
    <row r="21" spans="1:22" x14ac:dyDescent="0.25">
      <c r="A21" s="22" t="s">
        <v>44</v>
      </c>
      <c r="B21" s="23" t="s">
        <v>34</v>
      </c>
      <c r="C21" s="24"/>
      <c r="D21" s="24"/>
      <c r="E21" s="16">
        <f t="shared" si="1"/>
        <v>0</v>
      </c>
      <c r="F21" s="24"/>
      <c r="G21" s="24"/>
      <c r="H21" s="16">
        <f t="shared" si="2"/>
        <v>0</v>
      </c>
      <c r="I21" s="24"/>
      <c r="J21" s="24"/>
      <c r="K21" s="16">
        <f t="shared" si="3"/>
        <v>0</v>
      </c>
      <c r="L21" s="17" t="e">
        <f t="shared" si="7"/>
        <v>#DIV/0!</v>
      </c>
      <c r="M21" s="24">
        <v>0</v>
      </c>
      <c r="N21" s="24"/>
      <c r="O21" s="16">
        <f t="shared" si="4"/>
        <v>0</v>
      </c>
      <c r="P21" s="16" t="e">
        <f t="shared" si="0"/>
        <v>#DIV/0!</v>
      </c>
      <c r="Q21" s="24">
        <v>0</v>
      </c>
      <c r="R21" s="24"/>
      <c r="S21" s="16">
        <f t="shared" si="5"/>
        <v>0</v>
      </c>
      <c r="T21" s="24">
        <v>0</v>
      </c>
      <c r="U21" s="24"/>
      <c r="V21" s="16">
        <f t="shared" si="6"/>
        <v>0</v>
      </c>
    </row>
    <row r="22" spans="1:22" x14ac:dyDescent="0.25">
      <c r="A22" s="18" t="s">
        <v>35</v>
      </c>
      <c r="B22" s="19" t="s">
        <v>36</v>
      </c>
      <c r="C22" s="27">
        <f>C24+C25+C26+C27+C28+C29+C30+C31+C32+C33+C34+C37</f>
        <v>245239.24202999999</v>
      </c>
      <c r="D22" s="27">
        <f>D24+D25+D26+D27+D28+D29+D30+D31+D32+D33+D34+D37</f>
        <v>2528.2227699999999</v>
      </c>
      <c r="E22" s="28">
        <f>C22-D22</f>
        <v>242711.01926</v>
      </c>
      <c r="F22" s="27">
        <f>F24+F25+F26+F27+F28+F29+F30+F31+F32+F33+F34+F37</f>
        <v>187419.5</v>
      </c>
      <c r="G22" s="27">
        <f>G24+G25+G26+G27+G28+G29+G30+G31+G32+G33+G34+G37</f>
        <v>0</v>
      </c>
      <c r="H22" s="28">
        <f t="shared" si="2"/>
        <v>187419.5</v>
      </c>
      <c r="I22" s="27">
        <f>I24+I25+I26+I27+I28+I29+I30+I31+I32+I33+I34+I37</f>
        <v>374159.48725000001</v>
      </c>
      <c r="J22" s="27">
        <f>J24+J25+J26+J27+J28+J29+J30+J31+J32+J33+J34+J37</f>
        <v>-451.51988999999998</v>
      </c>
      <c r="K22" s="28">
        <f t="shared" si="3"/>
        <v>374611.00714</v>
      </c>
      <c r="L22" s="29">
        <f t="shared" si="7"/>
        <v>1.5434445798223293</v>
      </c>
      <c r="M22" s="27">
        <f>M24+M25+M26+M27+M28+M29+M30+M31+M32+M33+M34+M37</f>
        <v>383116.24559000001</v>
      </c>
      <c r="N22" s="27">
        <f>N24+N25+N26+N27+N28+N29+N30+N31+N32+N33+N34+N37</f>
        <v>-451.51988999999998</v>
      </c>
      <c r="O22" s="28">
        <f t="shared" si="4"/>
        <v>383567.76548</v>
      </c>
      <c r="P22" s="28">
        <f t="shared" si="0"/>
        <v>1.5803475534380647</v>
      </c>
      <c r="Q22" s="27">
        <f>Q24+Q25+Q26+Q27+Q28+Q29+Q30+Q31+Q32+Q33+Q34+Q37</f>
        <v>1028547.14099</v>
      </c>
      <c r="R22" s="27">
        <f>R24+R25+R26+R27+R28+R29+R30+R31+R32+R33+R34+R37</f>
        <v>0</v>
      </c>
      <c r="S22" s="28">
        <f t="shared" si="5"/>
        <v>1028547.14099</v>
      </c>
      <c r="T22" s="27">
        <f>T24+T25+T26+T27+T28+T29+T30+T31+T32+T33+T34+T37</f>
        <v>6604.05</v>
      </c>
      <c r="U22" s="27">
        <f>U24+U25+U26+U27+U28+U29+U30+U31+U32+U33+U34+U37</f>
        <v>0</v>
      </c>
      <c r="V22" s="28">
        <f t="shared" si="6"/>
        <v>6604.05</v>
      </c>
    </row>
    <row r="23" spans="1:22" x14ac:dyDescent="0.25">
      <c r="A23" s="22"/>
      <c r="B23" s="23" t="s">
        <v>16</v>
      </c>
      <c r="C23" s="24"/>
      <c r="D23" s="24"/>
      <c r="E23" s="16"/>
      <c r="F23" s="24"/>
      <c r="G23" s="24"/>
      <c r="H23" s="16"/>
      <c r="I23" s="24"/>
      <c r="J23" s="24"/>
      <c r="K23" s="16"/>
      <c r="L23" s="17"/>
      <c r="M23" s="24"/>
      <c r="N23" s="24"/>
      <c r="O23" s="16"/>
      <c r="P23" s="16" t="e">
        <f t="shared" si="0"/>
        <v>#DIV/0!</v>
      </c>
      <c r="Q23" s="24"/>
      <c r="R23" s="24"/>
      <c r="S23" s="16"/>
      <c r="T23" s="24"/>
      <c r="U23" s="24"/>
      <c r="V23" s="16"/>
    </row>
    <row r="24" spans="1:22" ht="38.25" x14ac:dyDescent="0.25">
      <c r="A24" s="22" t="s">
        <v>17</v>
      </c>
      <c r="B24" s="30" t="s">
        <v>37</v>
      </c>
      <c r="C24" s="24"/>
      <c r="D24" s="24"/>
      <c r="E24" s="16">
        <f t="shared" si="1"/>
        <v>0</v>
      </c>
      <c r="F24" s="24"/>
      <c r="G24" s="24"/>
      <c r="H24" s="16">
        <f t="shared" si="2"/>
        <v>0</v>
      </c>
      <c r="I24" s="24"/>
      <c r="J24" s="24"/>
      <c r="K24" s="16">
        <f t="shared" si="3"/>
        <v>0</v>
      </c>
      <c r="L24" s="17" t="e">
        <f>K24/E24</f>
        <v>#DIV/0!</v>
      </c>
      <c r="M24" s="24">
        <v>0</v>
      </c>
      <c r="N24" s="24"/>
      <c r="O24" s="16">
        <f t="shared" si="4"/>
        <v>0</v>
      </c>
      <c r="P24" s="16" t="e">
        <f t="shared" si="0"/>
        <v>#DIV/0!</v>
      </c>
      <c r="Q24" s="24">
        <v>0</v>
      </c>
      <c r="R24" s="24"/>
      <c r="S24" s="16">
        <f t="shared" si="5"/>
        <v>0</v>
      </c>
      <c r="T24" s="24">
        <v>0</v>
      </c>
      <c r="U24" s="24"/>
      <c r="V24" s="16">
        <f t="shared" si="6"/>
        <v>0</v>
      </c>
    </row>
    <row r="25" spans="1:22" ht="25.5" x14ac:dyDescent="0.25">
      <c r="A25" s="22" t="s">
        <v>19</v>
      </c>
      <c r="B25" s="30" t="s">
        <v>38</v>
      </c>
      <c r="C25" s="24"/>
      <c r="D25" s="24"/>
      <c r="E25" s="16">
        <f>C25-D25</f>
        <v>0</v>
      </c>
      <c r="F25" s="24"/>
      <c r="G25" s="24"/>
      <c r="H25" s="16">
        <f t="shared" si="2"/>
        <v>0</v>
      </c>
      <c r="I25" s="24"/>
      <c r="J25" s="24"/>
      <c r="K25" s="16">
        <f t="shared" si="3"/>
        <v>0</v>
      </c>
      <c r="L25" s="17" t="e">
        <f>K25/E25</f>
        <v>#DIV/0!</v>
      </c>
      <c r="M25" s="24">
        <v>0</v>
      </c>
      <c r="N25" s="24"/>
      <c r="O25" s="16">
        <f t="shared" si="4"/>
        <v>0</v>
      </c>
      <c r="P25" s="16" t="e">
        <f t="shared" si="0"/>
        <v>#DIV/0!</v>
      </c>
      <c r="Q25" s="24">
        <v>0</v>
      </c>
      <c r="R25" s="24"/>
      <c r="S25" s="16">
        <f t="shared" si="5"/>
        <v>0</v>
      </c>
      <c r="T25" s="24">
        <v>0</v>
      </c>
      <c r="U25" s="24"/>
      <c r="V25" s="16">
        <f>T25-U25</f>
        <v>0</v>
      </c>
    </row>
    <row r="26" spans="1:22" ht="25.5" x14ac:dyDescent="0.25">
      <c r="A26" s="22" t="s">
        <v>21</v>
      </c>
      <c r="B26" s="30" t="s">
        <v>39</v>
      </c>
      <c r="C26" s="24">
        <f>171950.51903+1604.06464+0.02063</f>
        <v>173554.60430000001</v>
      </c>
      <c r="D26" s="24"/>
      <c r="E26" s="16">
        <f t="shared" ref="E26:E29" si="9">C26-D26</f>
        <v>173554.60430000001</v>
      </c>
      <c r="F26" s="24">
        <f>148013.85+954.57+59.91</f>
        <v>149028.33000000002</v>
      </c>
      <c r="G26" s="24"/>
      <c r="H26" s="16">
        <f t="shared" si="2"/>
        <v>149028.33000000002</v>
      </c>
      <c r="I26" s="24">
        <f>325415.54147+1236.44343+162.93046</f>
        <v>326814.91535999998</v>
      </c>
      <c r="J26" s="24"/>
      <c r="K26" s="16">
        <f t="shared" si="3"/>
        <v>326814.91535999998</v>
      </c>
      <c r="L26" s="17"/>
      <c r="M26" s="24">
        <f>332208.74041+1289.59281+0.19323</f>
        <v>333498.52645</v>
      </c>
      <c r="N26" s="24"/>
      <c r="O26" s="16">
        <f t="shared" si="4"/>
        <v>333498.52645</v>
      </c>
      <c r="P26" s="16">
        <f t="shared" si="0"/>
        <v>1.9215769457405285</v>
      </c>
      <c r="Q26" s="24">
        <f>998068.2+1435.118+60.0588</f>
        <v>999563.37679999997</v>
      </c>
      <c r="R26" s="24"/>
      <c r="S26" s="16">
        <f t="shared" si="5"/>
        <v>999563.37679999997</v>
      </c>
      <c r="T26" s="24">
        <f>4000+150</f>
        <v>4150</v>
      </c>
      <c r="U26" s="24"/>
      <c r="V26" s="16">
        <f t="shared" si="6"/>
        <v>4150</v>
      </c>
    </row>
    <row r="27" spans="1:22" x14ac:dyDescent="0.25">
      <c r="A27" s="22" t="s">
        <v>27</v>
      </c>
      <c r="B27" s="30" t="s">
        <v>40</v>
      </c>
      <c r="C27" s="24"/>
      <c r="D27" s="24"/>
      <c r="E27" s="16">
        <f t="shared" si="9"/>
        <v>0</v>
      </c>
      <c r="F27" s="24"/>
      <c r="G27" s="24"/>
      <c r="H27" s="16">
        <f t="shared" si="2"/>
        <v>0</v>
      </c>
      <c r="I27" s="24"/>
      <c r="J27" s="24"/>
      <c r="K27" s="16">
        <f t="shared" si="3"/>
        <v>0</v>
      </c>
      <c r="L27" s="17" t="e">
        <f>K27/E27</f>
        <v>#DIV/0!</v>
      </c>
      <c r="M27" s="24">
        <v>0</v>
      </c>
      <c r="N27" s="24"/>
      <c r="O27" s="16">
        <f t="shared" si="4"/>
        <v>0</v>
      </c>
      <c r="P27" s="16" t="e">
        <f t="shared" si="0"/>
        <v>#DIV/0!</v>
      </c>
      <c r="Q27" s="24">
        <v>0</v>
      </c>
      <c r="R27" s="24"/>
      <c r="S27" s="16">
        <f t="shared" si="5"/>
        <v>0</v>
      </c>
      <c r="T27" s="24"/>
      <c r="U27" s="24"/>
      <c r="V27" s="16">
        <f t="shared" si="6"/>
        <v>0</v>
      </c>
    </row>
    <row r="28" spans="1:22" ht="38.25" x14ac:dyDescent="0.25">
      <c r="A28" s="22" t="s">
        <v>29</v>
      </c>
      <c r="B28" s="30" t="s">
        <v>41</v>
      </c>
      <c r="C28" s="24">
        <v>24023.475589999998</v>
      </c>
      <c r="D28" s="24"/>
      <c r="E28" s="16">
        <f t="shared" si="9"/>
        <v>24023.475589999998</v>
      </c>
      <c r="F28" s="24">
        <f>16493.24</f>
        <v>16493.240000000002</v>
      </c>
      <c r="G28" s="24"/>
      <c r="H28" s="16">
        <f t="shared" si="2"/>
        <v>16493.240000000002</v>
      </c>
      <c r="I28" s="24">
        <v>20256.042580000001</v>
      </c>
      <c r="J28" s="24"/>
      <c r="K28" s="16">
        <f t="shared" si="3"/>
        <v>20256.042580000001</v>
      </c>
      <c r="L28" s="17"/>
      <c r="M28" s="24">
        <v>21900.598730000002</v>
      </c>
      <c r="N28" s="24"/>
      <c r="O28" s="16">
        <f t="shared" si="4"/>
        <v>21900.598730000002</v>
      </c>
      <c r="P28" s="16">
        <f t="shared" si="0"/>
        <v>0.91163323341591485</v>
      </c>
      <c r="Q28" s="24">
        <v>19425.779729999998</v>
      </c>
      <c r="R28" s="24"/>
      <c r="S28" s="16">
        <f t="shared" si="5"/>
        <v>19425.779729999998</v>
      </c>
      <c r="T28" s="24">
        <v>1400</v>
      </c>
      <c r="U28" s="24"/>
      <c r="V28" s="16">
        <f t="shared" si="6"/>
        <v>1400</v>
      </c>
    </row>
    <row r="29" spans="1:22" ht="38.25" x14ac:dyDescent="0.25">
      <c r="A29" s="22" t="s">
        <v>31</v>
      </c>
      <c r="B29" s="30" t="s">
        <v>42</v>
      </c>
      <c r="C29" s="24"/>
      <c r="D29" s="24"/>
      <c r="E29" s="16">
        <f t="shared" si="9"/>
        <v>0</v>
      </c>
      <c r="F29" s="24"/>
      <c r="G29" s="24"/>
      <c r="H29" s="16">
        <f t="shared" si="2"/>
        <v>0</v>
      </c>
      <c r="I29" s="24"/>
      <c r="J29" s="24"/>
      <c r="K29" s="16">
        <f t="shared" si="3"/>
        <v>0</v>
      </c>
      <c r="L29" s="17"/>
      <c r="M29" s="24">
        <v>0</v>
      </c>
      <c r="N29" s="24"/>
      <c r="O29" s="16">
        <f t="shared" si="4"/>
        <v>0</v>
      </c>
      <c r="P29" s="16" t="e">
        <f t="shared" si="0"/>
        <v>#DIV/0!</v>
      </c>
      <c r="Q29" s="24">
        <v>0</v>
      </c>
      <c r="R29" s="24"/>
      <c r="S29" s="16">
        <f t="shared" si="5"/>
        <v>0</v>
      </c>
      <c r="T29" s="24">
        <v>0</v>
      </c>
      <c r="U29" s="24"/>
      <c r="V29" s="16">
        <f t="shared" si="6"/>
        <v>0</v>
      </c>
    </row>
    <row r="30" spans="1:22" ht="25.5" x14ac:dyDescent="0.25">
      <c r="A30" s="22" t="s">
        <v>33</v>
      </c>
      <c r="B30" s="30" t="s">
        <v>43</v>
      </c>
      <c r="C30" s="24"/>
      <c r="D30" s="24"/>
      <c r="E30" s="16">
        <f t="shared" si="1"/>
        <v>0</v>
      </c>
      <c r="F30" s="24"/>
      <c r="G30" s="24"/>
      <c r="H30" s="16">
        <f t="shared" si="2"/>
        <v>0</v>
      </c>
      <c r="I30" s="24">
        <v>1593.1</v>
      </c>
      <c r="J30" s="24"/>
      <c r="K30" s="16">
        <f t="shared" si="3"/>
        <v>1593.1</v>
      </c>
      <c r="L30" s="17" t="e">
        <f>K30/E30</f>
        <v>#DIV/0!</v>
      </c>
      <c r="M30" s="24">
        <v>1593.1</v>
      </c>
      <c r="N30" s="24"/>
      <c r="O30" s="16">
        <f t="shared" si="4"/>
        <v>1593.1</v>
      </c>
      <c r="P30" s="16" t="e">
        <f t="shared" si="0"/>
        <v>#DIV/0!</v>
      </c>
      <c r="Q30" s="24">
        <v>0</v>
      </c>
      <c r="R30" s="24"/>
      <c r="S30" s="16">
        <f t="shared" si="5"/>
        <v>0</v>
      </c>
      <c r="T30" s="24">
        <v>0</v>
      </c>
      <c r="U30" s="24"/>
      <c r="V30" s="16">
        <f t="shared" si="6"/>
        <v>0</v>
      </c>
    </row>
    <row r="31" spans="1:22" ht="25.5" x14ac:dyDescent="0.25">
      <c r="A31" s="22" t="s">
        <v>44</v>
      </c>
      <c r="B31" s="30" t="s">
        <v>45</v>
      </c>
      <c r="C31" s="24">
        <v>14068.46912</v>
      </c>
      <c r="D31" s="24"/>
      <c r="E31" s="16">
        <f t="shared" si="1"/>
        <v>14068.46912</v>
      </c>
      <c r="F31" s="24">
        <v>12126.92</v>
      </c>
      <c r="G31" s="24"/>
      <c r="H31" s="16">
        <f t="shared" si="2"/>
        <v>12126.92</v>
      </c>
      <c r="I31" s="24">
        <v>6176</v>
      </c>
      <c r="J31" s="24"/>
      <c r="K31" s="16">
        <f t="shared" si="3"/>
        <v>6176</v>
      </c>
      <c r="L31" s="17">
        <f>K31/E31</f>
        <v>0.4389958813087973</v>
      </c>
      <c r="M31" s="24">
        <v>6182.6328400000002</v>
      </c>
      <c r="N31" s="24"/>
      <c r="O31" s="16">
        <f t="shared" si="4"/>
        <v>6182.6328400000002</v>
      </c>
      <c r="P31" s="16">
        <f t="shared" si="0"/>
        <v>0.43946734980643015</v>
      </c>
      <c r="Q31" s="24">
        <v>0</v>
      </c>
      <c r="R31" s="24"/>
      <c r="S31" s="16">
        <f t="shared" si="5"/>
        <v>0</v>
      </c>
      <c r="T31" s="24">
        <v>0</v>
      </c>
      <c r="U31" s="24"/>
      <c r="V31" s="16">
        <f t="shared" si="6"/>
        <v>0</v>
      </c>
    </row>
    <row r="32" spans="1:22" ht="25.5" x14ac:dyDescent="0.25">
      <c r="A32" s="22" t="s">
        <v>46</v>
      </c>
      <c r="B32" s="30" t="s">
        <v>47</v>
      </c>
      <c r="C32" s="24">
        <v>10138.620870000001</v>
      </c>
      <c r="D32" s="24">
        <v>1.7227699999999999</v>
      </c>
      <c r="E32" s="16">
        <f t="shared" si="1"/>
        <v>10136.8981</v>
      </c>
      <c r="F32" s="24">
        <v>4877.43</v>
      </c>
      <c r="G32" s="24"/>
      <c r="H32" s="16">
        <f t="shared" si="2"/>
        <v>4877.43</v>
      </c>
      <c r="I32" s="24">
        <v>9058.8243600000005</v>
      </c>
      <c r="J32" s="24"/>
      <c r="K32" s="16">
        <f t="shared" si="3"/>
        <v>9058.8243600000005</v>
      </c>
      <c r="L32" s="17">
        <f>K32/E32</f>
        <v>0.89364855704724899</v>
      </c>
      <c r="M32" s="24">
        <v>9233.2527200000004</v>
      </c>
      <c r="N32" s="24"/>
      <c r="O32" s="16">
        <f t="shared" si="4"/>
        <v>9233.2527200000004</v>
      </c>
      <c r="P32" s="16">
        <f t="shared" si="0"/>
        <v>0.91085582876679017</v>
      </c>
      <c r="Q32" s="24">
        <v>4793.92868</v>
      </c>
      <c r="R32" s="24"/>
      <c r="S32" s="16">
        <f t="shared" si="5"/>
        <v>4793.92868</v>
      </c>
      <c r="T32" s="24">
        <v>150</v>
      </c>
      <c r="U32" s="24"/>
      <c r="V32" s="16">
        <f t="shared" si="6"/>
        <v>150</v>
      </c>
    </row>
    <row r="33" spans="1:22" ht="25.5" x14ac:dyDescent="0.25">
      <c r="A33" s="22" t="s">
        <v>48</v>
      </c>
      <c r="B33" s="30" t="s">
        <v>49</v>
      </c>
      <c r="C33" s="24">
        <v>16748.63061</v>
      </c>
      <c r="D33" s="24"/>
      <c r="E33" s="16">
        <f t="shared" si="1"/>
        <v>16748.63061</v>
      </c>
      <c r="F33" s="24">
        <v>3804.34</v>
      </c>
      <c r="G33" s="24"/>
      <c r="H33" s="16">
        <f t="shared" si="2"/>
        <v>3804.34</v>
      </c>
      <c r="I33" s="24">
        <v>9939.5644599999996</v>
      </c>
      <c r="J33" s="24"/>
      <c r="K33" s="16">
        <f t="shared" si="3"/>
        <v>9939.5644599999996</v>
      </c>
      <c r="L33" s="17">
        <f>K33/E33</f>
        <v>0.59345535115363079</v>
      </c>
      <c r="M33" s="24">
        <v>10373.064710000001</v>
      </c>
      <c r="N33" s="24"/>
      <c r="O33" s="16">
        <f t="shared" si="4"/>
        <v>10373.064710000001</v>
      </c>
      <c r="P33" s="16">
        <f t="shared" si="0"/>
        <v>0.61933807912669703</v>
      </c>
      <c r="Q33" s="24">
        <v>3724.5343400000002</v>
      </c>
      <c r="R33" s="24"/>
      <c r="S33" s="16">
        <f t="shared" si="5"/>
        <v>3724.5343400000002</v>
      </c>
      <c r="T33" s="24">
        <v>800</v>
      </c>
      <c r="U33" s="24"/>
      <c r="V33" s="16">
        <f t="shared" si="6"/>
        <v>800</v>
      </c>
    </row>
    <row r="34" spans="1:22" x14ac:dyDescent="0.25">
      <c r="A34" s="22" t="s">
        <v>50</v>
      </c>
      <c r="B34" s="30" t="s">
        <v>51</v>
      </c>
      <c r="C34" s="24">
        <v>3834.3883599999999</v>
      </c>
      <c r="D34" s="24"/>
      <c r="E34" s="16">
        <f t="shared" si="1"/>
        <v>3834.3883599999999</v>
      </c>
      <c r="F34" s="24">
        <v>1089.24</v>
      </c>
      <c r="G34" s="24"/>
      <c r="H34" s="16">
        <f t="shared" si="2"/>
        <v>1089.24</v>
      </c>
      <c r="I34" s="24">
        <v>920.87557000000004</v>
      </c>
      <c r="J34" s="24"/>
      <c r="K34" s="16">
        <f t="shared" si="3"/>
        <v>920.87557000000004</v>
      </c>
      <c r="L34" s="17">
        <f>K34/E34</f>
        <v>0.24016231104978633</v>
      </c>
      <c r="M34" s="24">
        <v>920.90521999999999</v>
      </c>
      <c r="N34" s="24"/>
      <c r="O34" s="16">
        <f t="shared" si="4"/>
        <v>920.90521999999999</v>
      </c>
      <c r="P34" s="16">
        <f t="shared" si="0"/>
        <v>0.24017004370418024</v>
      </c>
      <c r="Q34" s="24">
        <v>1039.52144</v>
      </c>
      <c r="R34" s="24"/>
      <c r="S34" s="16">
        <f t="shared" si="5"/>
        <v>1039.52144</v>
      </c>
      <c r="T34" s="24">
        <v>104.05</v>
      </c>
      <c r="U34" s="24"/>
      <c r="V34" s="16">
        <f t="shared" si="6"/>
        <v>104.05</v>
      </c>
    </row>
    <row r="35" spans="1:22" x14ac:dyDescent="0.25">
      <c r="A35" s="31"/>
      <c r="B35" s="32" t="s">
        <v>6</v>
      </c>
      <c r="C35" s="33"/>
      <c r="D35" s="33"/>
      <c r="E35" s="34"/>
      <c r="F35" s="33"/>
      <c r="G35" s="33"/>
      <c r="H35" s="34"/>
      <c r="I35" s="33"/>
      <c r="J35" s="33"/>
      <c r="K35" s="34"/>
      <c r="L35" s="35"/>
      <c r="M35" s="33"/>
      <c r="N35" s="33"/>
      <c r="O35" s="34"/>
      <c r="P35" s="34" t="e">
        <f t="shared" si="0"/>
        <v>#DIV/0!</v>
      </c>
      <c r="Q35" s="33"/>
      <c r="R35" s="33"/>
      <c r="S35" s="34"/>
      <c r="T35" s="33"/>
      <c r="U35" s="33"/>
      <c r="V35" s="34"/>
    </row>
    <row r="36" spans="1:22" ht="38.25" x14ac:dyDescent="0.25">
      <c r="A36" s="22"/>
      <c r="B36" s="30" t="s">
        <v>52</v>
      </c>
      <c r="C36" s="24"/>
      <c r="D36" s="24"/>
      <c r="E36" s="16">
        <f t="shared" ref="E36" si="10">C36-D36</f>
        <v>0</v>
      </c>
      <c r="F36" s="24">
        <v>0</v>
      </c>
      <c r="G36" s="24"/>
      <c r="H36" s="16">
        <f t="shared" ref="H36" si="11">F36-G36</f>
        <v>0</v>
      </c>
      <c r="I36" s="24">
        <v>0</v>
      </c>
      <c r="J36" s="24"/>
      <c r="K36" s="16">
        <f t="shared" ref="K36" si="12">I36-J36</f>
        <v>0</v>
      </c>
      <c r="L36" s="17" t="e">
        <f t="shared" ref="L36:L54" si="13">K36/E36</f>
        <v>#DIV/0!</v>
      </c>
      <c r="M36" s="24">
        <v>0</v>
      </c>
      <c r="N36" s="24"/>
      <c r="O36" s="16">
        <f t="shared" ref="O36" si="14">M36-N36</f>
        <v>0</v>
      </c>
      <c r="P36" s="16" t="e">
        <f t="shared" si="0"/>
        <v>#DIV/0!</v>
      </c>
      <c r="Q36" s="24">
        <v>0</v>
      </c>
      <c r="R36" s="24"/>
      <c r="S36" s="16">
        <f t="shared" ref="S36" si="15">Q36-R36</f>
        <v>0</v>
      </c>
      <c r="T36" s="24">
        <v>0</v>
      </c>
      <c r="U36" s="24"/>
      <c r="V36" s="16">
        <f t="shared" ref="V36" si="16">T36-U36</f>
        <v>0</v>
      </c>
    </row>
    <row r="37" spans="1:22" x14ac:dyDescent="0.25">
      <c r="A37" s="22" t="s">
        <v>53</v>
      </c>
      <c r="B37" s="23" t="s">
        <v>54</v>
      </c>
      <c r="C37" s="24">
        <v>2871.0531799999999</v>
      </c>
      <c r="D37" s="24">
        <v>2526.5</v>
      </c>
      <c r="E37" s="16">
        <f t="shared" si="1"/>
        <v>344.55317999999988</v>
      </c>
      <c r="F37" s="24">
        <v>0</v>
      </c>
      <c r="G37" s="24"/>
      <c r="H37" s="16">
        <f t="shared" si="2"/>
        <v>0</v>
      </c>
      <c r="I37" s="24">
        <v>-599.83507999999995</v>
      </c>
      <c r="J37" s="24">
        <f>-451.51989</f>
        <v>-451.51988999999998</v>
      </c>
      <c r="K37" s="16">
        <f t="shared" si="3"/>
        <v>-148.31518999999997</v>
      </c>
      <c r="L37" s="17">
        <f t="shared" si="13"/>
        <v>-0.43045659889135263</v>
      </c>
      <c r="M37" s="24">
        <v>-585.83507999999995</v>
      </c>
      <c r="N37" s="24">
        <v>-451.51988999999998</v>
      </c>
      <c r="O37" s="16">
        <f t="shared" si="4"/>
        <v>-134.31518999999997</v>
      </c>
      <c r="P37" s="16">
        <f t="shared" si="0"/>
        <v>-0.38982426457361391</v>
      </c>
      <c r="Q37" s="24">
        <v>0</v>
      </c>
      <c r="R37" s="24"/>
      <c r="S37" s="16">
        <f t="shared" si="5"/>
        <v>0</v>
      </c>
      <c r="T37" s="24">
        <v>0</v>
      </c>
      <c r="U37" s="24"/>
      <c r="V37" s="16">
        <f t="shared" si="6"/>
        <v>0</v>
      </c>
    </row>
    <row r="38" spans="1:22" x14ac:dyDescent="0.25">
      <c r="A38" s="36" t="s">
        <v>55</v>
      </c>
      <c r="B38" s="14" t="s">
        <v>56</v>
      </c>
      <c r="C38" s="15">
        <f>C39+C48+C50+C49</f>
        <v>2628546.7669800003</v>
      </c>
      <c r="D38" s="15">
        <f>D39+D48+D50+D49</f>
        <v>2306013.4657399999</v>
      </c>
      <c r="E38" s="28">
        <f t="shared" si="1"/>
        <v>322533.30124000041</v>
      </c>
      <c r="F38" s="15">
        <f>F39+F48+F50+F49</f>
        <v>2820267.0976800001</v>
      </c>
      <c r="G38" s="15">
        <f>G39+G48+G50+G49</f>
        <v>2473144.59968</v>
      </c>
      <c r="H38" s="28">
        <f t="shared" si="2"/>
        <v>347122.49800000014</v>
      </c>
      <c r="I38" s="15">
        <f>I39+I48+I50+I49</f>
        <v>2839166.00978</v>
      </c>
      <c r="J38" s="15">
        <f>J39+J48+J50+J49</f>
        <v>2488753.1025100001</v>
      </c>
      <c r="K38" s="28">
        <f t="shared" si="3"/>
        <v>350412.90726999985</v>
      </c>
      <c r="L38" s="29">
        <f t="shared" si="13"/>
        <v>1.0864394650810147</v>
      </c>
      <c r="M38" s="15">
        <f>M39+M48+M50+M49</f>
        <v>2575066.882191</v>
      </c>
      <c r="N38" s="15">
        <f>N39+N48+N50+N49</f>
        <v>2188017.3542800001</v>
      </c>
      <c r="O38" s="28">
        <f t="shared" si="4"/>
        <v>387049.52791099995</v>
      </c>
      <c r="P38" s="28">
        <f t="shared" ref="P38:P69" si="17">O38/E38</f>
        <v>1.2000296602644214</v>
      </c>
      <c r="Q38" s="15">
        <f>Q39+Q48+Q50+Q49</f>
        <v>3224780.1595099997</v>
      </c>
      <c r="R38" s="15">
        <f>R39+R48+R50+R49</f>
        <v>2853299.1055100001</v>
      </c>
      <c r="S38" s="28">
        <f t="shared" si="5"/>
        <v>371481.05399999954</v>
      </c>
      <c r="T38" s="15">
        <f>T39+T48+T50+T49</f>
        <v>52372</v>
      </c>
      <c r="U38" s="15">
        <f>U39+U48+U50+U49</f>
        <v>52372</v>
      </c>
      <c r="V38" s="28">
        <f t="shared" si="6"/>
        <v>0</v>
      </c>
    </row>
    <row r="39" spans="1:22" ht="26.25" x14ac:dyDescent="0.25">
      <c r="A39" s="22" t="s">
        <v>57</v>
      </c>
      <c r="B39" s="23" t="s">
        <v>58</v>
      </c>
      <c r="C39" s="37">
        <f>C40+C44+C46+C47</f>
        <v>2420962.1232000003</v>
      </c>
      <c r="D39" s="37">
        <f>D40+D44+D46+D47</f>
        <v>2135539.2911399999</v>
      </c>
      <c r="E39" s="16">
        <f t="shared" si="1"/>
        <v>285422.83206000039</v>
      </c>
      <c r="F39" s="37">
        <f>F40+F44+F46+F47</f>
        <v>2820267.0976800001</v>
      </c>
      <c r="G39" s="37">
        <f>G40+G44+G46+G47</f>
        <v>2473144.59968</v>
      </c>
      <c r="H39" s="16">
        <f t="shared" si="2"/>
        <v>347122.49800000014</v>
      </c>
      <c r="I39" s="37">
        <f>I40+I44+I46+I47</f>
        <v>2834702.55051</v>
      </c>
      <c r="J39" s="37">
        <f>J40+J44+J46+J47</f>
        <v>2487328.0525100003</v>
      </c>
      <c r="K39" s="16">
        <f t="shared" si="3"/>
        <v>347374.49799999967</v>
      </c>
      <c r="L39" s="17">
        <f t="shared" si="13"/>
        <v>1.2170522431330093</v>
      </c>
      <c r="M39" s="37">
        <f>M40+M44+M46+M47</f>
        <v>2571905.3599899998</v>
      </c>
      <c r="N39" s="37">
        <f>N40+N44+N46+N47</f>
        <v>2187894.0699999998</v>
      </c>
      <c r="O39" s="16">
        <f t="shared" si="4"/>
        <v>384011.28998999996</v>
      </c>
      <c r="P39" s="16">
        <f t="shared" si="17"/>
        <v>1.3454119532710498</v>
      </c>
      <c r="Q39" s="37">
        <f>Q40+Q44+Q46+Q47</f>
        <v>3224780.1595099997</v>
      </c>
      <c r="R39" s="37">
        <f>R40+R44+R46+R47</f>
        <v>2853299.1055100001</v>
      </c>
      <c r="S39" s="16">
        <f t="shared" si="5"/>
        <v>371481.05399999954</v>
      </c>
      <c r="T39" s="37">
        <f>T40+T44+T46+T47</f>
        <v>52372</v>
      </c>
      <c r="U39" s="37">
        <f>U40+U44+U46+U47</f>
        <v>52372</v>
      </c>
      <c r="V39" s="16">
        <f t="shared" si="6"/>
        <v>0</v>
      </c>
    </row>
    <row r="40" spans="1:22" x14ac:dyDescent="0.25">
      <c r="A40" s="22" t="s">
        <v>17</v>
      </c>
      <c r="B40" s="23" t="s">
        <v>59</v>
      </c>
      <c r="C40" s="24">
        <f>C41+C42+C43</f>
        <v>284227.23206000001</v>
      </c>
      <c r="D40" s="111"/>
      <c r="E40" s="16">
        <f>C40-D40</f>
        <v>284227.23206000001</v>
      </c>
      <c r="F40" s="24">
        <f>F41+F42+F43</f>
        <v>347122.49800000002</v>
      </c>
      <c r="G40" s="111"/>
      <c r="H40" s="16">
        <f>F40-G40</f>
        <v>347122.49800000002</v>
      </c>
      <c r="I40" s="24">
        <f>I41+I42+I43</f>
        <v>349969.72599000001</v>
      </c>
      <c r="J40" s="24">
        <f>J41+J42+J43</f>
        <v>2847.2279899999999</v>
      </c>
      <c r="K40" s="16">
        <f>I40-J40</f>
        <v>347122.49800000002</v>
      </c>
      <c r="L40" s="17">
        <f t="shared" si="13"/>
        <v>1.2212851509130656</v>
      </c>
      <c r="M40" s="24">
        <f>M41+M42+M43</f>
        <v>383759.28999000002</v>
      </c>
      <c r="N40" s="111"/>
      <c r="O40" s="16">
        <f>M40-N40</f>
        <v>383759.28999000002</v>
      </c>
      <c r="P40" s="16">
        <f t="shared" si="17"/>
        <v>1.3501848053355736</v>
      </c>
      <c r="Q40" s="24">
        <f>Q41+Q42+Q43</f>
        <v>371481.054</v>
      </c>
      <c r="R40" s="111"/>
      <c r="S40" s="16">
        <f>Q40-R40</f>
        <v>371481.054</v>
      </c>
      <c r="T40" s="24">
        <f>T41+T42+T43</f>
        <v>0</v>
      </c>
      <c r="U40" s="111"/>
      <c r="V40" s="16">
        <f>T40-U40</f>
        <v>0</v>
      </c>
    </row>
    <row r="41" spans="1:22" x14ac:dyDescent="0.25">
      <c r="A41" s="22"/>
      <c r="B41" s="23" t="s">
        <v>60</v>
      </c>
      <c r="C41" s="24">
        <v>240840.44</v>
      </c>
      <c r="D41" s="111"/>
      <c r="E41" s="16">
        <f>C41-D41</f>
        <v>240840.44</v>
      </c>
      <c r="F41" s="24">
        <v>347122.49800000002</v>
      </c>
      <c r="G41" s="111"/>
      <c r="H41" s="16">
        <f t="shared" si="2"/>
        <v>347122.49800000002</v>
      </c>
      <c r="I41" s="24">
        <v>347122.49800000002</v>
      </c>
      <c r="J41" s="111"/>
      <c r="K41" s="16">
        <f t="shared" si="3"/>
        <v>347122.49800000002</v>
      </c>
      <c r="L41" s="17">
        <f t="shared" si="13"/>
        <v>1.4412965613250002</v>
      </c>
      <c r="M41" s="24">
        <v>347122.49800000002</v>
      </c>
      <c r="N41" s="111"/>
      <c r="O41" s="16">
        <f t="shared" si="4"/>
        <v>347122.49800000002</v>
      </c>
      <c r="P41" s="16">
        <f t="shared" si="17"/>
        <v>1.4412965613250002</v>
      </c>
      <c r="Q41" s="24">
        <v>371481.054</v>
      </c>
      <c r="R41" s="111"/>
      <c r="S41" s="16">
        <f t="shared" si="5"/>
        <v>371481.054</v>
      </c>
      <c r="T41" s="24">
        <v>0</v>
      </c>
      <c r="U41" s="111"/>
      <c r="V41" s="16">
        <f t="shared" si="6"/>
        <v>0</v>
      </c>
    </row>
    <row r="42" spans="1:22" x14ac:dyDescent="0.25">
      <c r="A42" s="22"/>
      <c r="B42" s="23" t="s">
        <v>61</v>
      </c>
      <c r="C42" s="24">
        <v>41665.506999999998</v>
      </c>
      <c r="D42" s="111"/>
      <c r="E42" s="16">
        <f t="shared" si="1"/>
        <v>41665.506999999998</v>
      </c>
      <c r="F42" s="24">
        <v>0</v>
      </c>
      <c r="G42" s="111"/>
      <c r="H42" s="16">
        <f t="shared" si="2"/>
        <v>0</v>
      </c>
      <c r="I42" s="24"/>
      <c r="J42" s="111"/>
      <c r="K42" s="16">
        <f t="shared" si="3"/>
        <v>0</v>
      </c>
      <c r="L42" s="17">
        <f t="shared" si="13"/>
        <v>0</v>
      </c>
      <c r="M42" s="24"/>
      <c r="N42" s="111"/>
      <c r="O42" s="16">
        <f t="shared" si="4"/>
        <v>0</v>
      </c>
      <c r="P42" s="16">
        <f t="shared" si="17"/>
        <v>0</v>
      </c>
      <c r="Q42" s="24"/>
      <c r="R42" s="111"/>
      <c r="S42" s="16">
        <f t="shared" si="5"/>
        <v>0</v>
      </c>
      <c r="T42" s="24"/>
      <c r="U42" s="111"/>
      <c r="V42" s="16">
        <f t="shared" si="6"/>
        <v>0</v>
      </c>
    </row>
    <row r="43" spans="1:22" x14ac:dyDescent="0.25">
      <c r="A43" s="22"/>
      <c r="B43" s="23" t="s">
        <v>62</v>
      </c>
      <c r="C43" s="24">
        <v>1721.2850599999999</v>
      </c>
      <c r="D43" s="111"/>
      <c r="E43" s="16">
        <f t="shared" si="1"/>
        <v>1721.2850599999999</v>
      </c>
      <c r="F43" s="24"/>
      <c r="G43" s="111"/>
      <c r="H43" s="16">
        <f t="shared" si="2"/>
        <v>0</v>
      </c>
      <c r="I43" s="24">
        <v>2847.2279899999999</v>
      </c>
      <c r="J43" s="111">
        <f>I43</f>
        <v>2847.2279899999999</v>
      </c>
      <c r="K43" s="16">
        <f t="shared" si="3"/>
        <v>0</v>
      </c>
      <c r="L43" s="17">
        <f t="shared" si="13"/>
        <v>0</v>
      </c>
      <c r="M43" s="24">
        <f>2847.22799+33789.564</f>
        <v>36636.791989999998</v>
      </c>
      <c r="N43" s="111">
        <f>2847.22799+33789.564</f>
        <v>36636.791989999998</v>
      </c>
      <c r="O43" s="16">
        <f t="shared" si="4"/>
        <v>0</v>
      </c>
      <c r="P43" s="16">
        <f t="shared" si="17"/>
        <v>0</v>
      </c>
      <c r="Q43" s="24"/>
      <c r="R43" s="111"/>
      <c r="S43" s="16">
        <f t="shared" si="5"/>
        <v>0</v>
      </c>
      <c r="T43" s="24"/>
      <c r="U43" s="111"/>
      <c r="V43" s="16">
        <f t="shared" si="6"/>
        <v>0</v>
      </c>
    </row>
    <row r="44" spans="1:22" x14ac:dyDescent="0.25">
      <c r="A44" s="22" t="s">
        <v>19</v>
      </c>
      <c r="B44" s="23" t="s">
        <v>63</v>
      </c>
      <c r="C44" s="24">
        <v>915191.54888999998</v>
      </c>
      <c r="D44" s="111">
        <f>C44</f>
        <v>915191.54888999998</v>
      </c>
      <c r="E44" s="16">
        <f t="shared" si="1"/>
        <v>0</v>
      </c>
      <c r="F44" s="24">
        <v>1232283.9196899999</v>
      </c>
      <c r="G44" s="111">
        <f>F44</f>
        <v>1232283.9196899999</v>
      </c>
      <c r="H44" s="16">
        <f t="shared" si="2"/>
        <v>0</v>
      </c>
      <c r="I44" s="24">
        <v>1220826.5193700001</v>
      </c>
      <c r="J44" s="111">
        <f>I44</f>
        <v>1220826.5193700001</v>
      </c>
      <c r="K44" s="16">
        <f t="shared" si="3"/>
        <v>0</v>
      </c>
      <c r="L44" s="17" t="e">
        <f t="shared" si="13"/>
        <v>#DIV/0!</v>
      </c>
      <c r="M44" s="24">
        <v>905252.68896000006</v>
      </c>
      <c r="N44" s="111">
        <f>M44</f>
        <v>905252.68896000006</v>
      </c>
      <c r="O44" s="16">
        <f t="shared" si="4"/>
        <v>0</v>
      </c>
      <c r="P44" s="16" t="e">
        <f t="shared" si="17"/>
        <v>#DIV/0!</v>
      </c>
      <c r="Q44" s="24">
        <v>1599607.3679800001</v>
      </c>
      <c r="R44" s="111">
        <f t="shared" ref="R44:R50" si="18">Q44</f>
        <v>1599607.3679800001</v>
      </c>
      <c r="S44" s="16">
        <f t="shared" si="5"/>
        <v>0</v>
      </c>
      <c r="T44" s="24">
        <v>0</v>
      </c>
      <c r="U44" s="111">
        <v>0</v>
      </c>
      <c r="V44" s="16">
        <f t="shared" si="6"/>
        <v>0</v>
      </c>
    </row>
    <row r="45" spans="1:22" x14ac:dyDescent="0.25">
      <c r="A45" s="22"/>
      <c r="B45" s="23" t="s">
        <v>64</v>
      </c>
      <c r="C45" s="24">
        <v>125690.16314</v>
      </c>
      <c r="D45" s="111">
        <f>C45</f>
        <v>125690.16314</v>
      </c>
      <c r="E45" s="16">
        <f t="shared" si="1"/>
        <v>0</v>
      </c>
      <c r="F45" s="24">
        <v>283279.57037999999</v>
      </c>
      <c r="G45" s="111">
        <f t="shared" ref="G45:G47" si="19">F45</f>
        <v>283279.57037999999</v>
      </c>
      <c r="H45" s="16">
        <f t="shared" si="2"/>
        <v>0</v>
      </c>
      <c r="I45" s="24">
        <v>287865.07037999999</v>
      </c>
      <c r="J45" s="111">
        <f>I45</f>
        <v>287865.07037999999</v>
      </c>
      <c r="K45" s="16">
        <f t="shared" si="3"/>
        <v>0</v>
      </c>
      <c r="L45" s="17" t="e">
        <f t="shared" si="13"/>
        <v>#DIV/0!</v>
      </c>
      <c r="M45" s="24">
        <v>233274.80056</v>
      </c>
      <c r="N45" s="111">
        <f>M45</f>
        <v>233274.80056</v>
      </c>
      <c r="O45" s="16">
        <f t="shared" si="4"/>
        <v>0</v>
      </c>
      <c r="P45" s="16" t="e">
        <f t="shared" si="17"/>
        <v>#DIV/0!</v>
      </c>
      <c r="Q45" s="24">
        <v>591.09100000000001</v>
      </c>
      <c r="R45" s="111">
        <f t="shared" si="18"/>
        <v>591.09100000000001</v>
      </c>
      <c r="S45" s="16">
        <f t="shared" si="5"/>
        <v>0</v>
      </c>
      <c r="T45" s="24">
        <v>0</v>
      </c>
      <c r="U45" s="111">
        <f>T45</f>
        <v>0</v>
      </c>
      <c r="V45" s="16">
        <f t="shared" si="6"/>
        <v>0</v>
      </c>
    </row>
    <row r="46" spans="1:22" x14ac:dyDescent="0.25">
      <c r="A46" s="22" t="s">
        <v>21</v>
      </c>
      <c r="B46" s="23" t="s">
        <v>65</v>
      </c>
      <c r="C46" s="24">
        <v>1098742.22691</v>
      </c>
      <c r="D46" s="111">
        <f>C46</f>
        <v>1098742.22691</v>
      </c>
      <c r="E46" s="16">
        <f t="shared" si="1"/>
        <v>0</v>
      </c>
      <c r="F46" s="24">
        <v>1159777.07999</v>
      </c>
      <c r="G46" s="111">
        <f t="shared" si="19"/>
        <v>1159777.07999</v>
      </c>
      <c r="H46" s="16">
        <f t="shared" si="2"/>
        <v>0</v>
      </c>
      <c r="I46" s="24">
        <v>1158888.5093</v>
      </c>
      <c r="J46" s="111">
        <f>I46</f>
        <v>1158888.5093</v>
      </c>
      <c r="K46" s="16">
        <f t="shared" si="3"/>
        <v>0</v>
      </c>
      <c r="L46" s="17" t="e">
        <f t="shared" si="13"/>
        <v>#DIV/0!</v>
      </c>
      <c r="M46" s="24">
        <v>1187662.5299</v>
      </c>
      <c r="N46" s="111">
        <f>M46</f>
        <v>1187662.5299</v>
      </c>
      <c r="O46" s="16">
        <f t="shared" si="4"/>
        <v>0</v>
      </c>
      <c r="P46" s="16" t="e">
        <f t="shared" si="17"/>
        <v>#DIV/0!</v>
      </c>
      <c r="Q46" s="24">
        <v>1165676.11353</v>
      </c>
      <c r="R46" s="111">
        <f t="shared" si="18"/>
        <v>1165676.11353</v>
      </c>
      <c r="S46" s="16">
        <f t="shared" si="5"/>
        <v>0</v>
      </c>
      <c r="T46" s="24">
        <v>52372</v>
      </c>
      <c r="U46" s="111">
        <f>T46</f>
        <v>52372</v>
      </c>
      <c r="V46" s="16">
        <f t="shared" si="6"/>
        <v>0</v>
      </c>
    </row>
    <row r="47" spans="1:22" x14ac:dyDescent="0.25">
      <c r="A47" s="22" t="s">
        <v>27</v>
      </c>
      <c r="B47" s="23" t="s">
        <v>66</v>
      </c>
      <c r="C47" s="24">
        <v>122801.11534</v>
      </c>
      <c r="D47" s="111">
        <v>121605.51534</v>
      </c>
      <c r="E47" s="16">
        <f t="shared" si="1"/>
        <v>1195.6000000000058</v>
      </c>
      <c r="F47" s="24">
        <v>81083.600000000006</v>
      </c>
      <c r="G47" s="111">
        <f t="shared" si="19"/>
        <v>81083.600000000006</v>
      </c>
      <c r="H47" s="16">
        <f t="shared" si="2"/>
        <v>0</v>
      </c>
      <c r="I47" s="24">
        <v>105017.79584999999</v>
      </c>
      <c r="J47" s="111">
        <v>104765.79584999999</v>
      </c>
      <c r="K47" s="16">
        <f t="shared" si="3"/>
        <v>252</v>
      </c>
      <c r="L47" s="17">
        <f t="shared" si="13"/>
        <v>0.21077283372365238</v>
      </c>
      <c r="M47" s="24">
        <v>95230.851139999999</v>
      </c>
      <c r="N47" s="111">
        <v>94978.851139999999</v>
      </c>
      <c r="O47" s="16">
        <f t="shared" si="4"/>
        <v>252</v>
      </c>
      <c r="P47" s="16">
        <f t="shared" si="17"/>
        <v>0.21077283372365238</v>
      </c>
      <c r="Q47" s="24">
        <v>88015.623999999996</v>
      </c>
      <c r="R47" s="111">
        <f t="shared" si="18"/>
        <v>88015.623999999996</v>
      </c>
      <c r="S47" s="16">
        <f t="shared" si="5"/>
        <v>0</v>
      </c>
      <c r="T47" s="24">
        <v>0</v>
      </c>
      <c r="U47" s="111">
        <f>T47</f>
        <v>0</v>
      </c>
      <c r="V47" s="16">
        <f t="shared" si="6"/>
        <v>0</v>
      </c>
    </row>
    <row r="48" spans="1:22" x14ac:dyDescent="0.25">
      <c r="A48" s="22" t="s">
        <v>67</v>
      </c>
      <c r="B48" s="23" t="s">
        <v>68</v>
      </c>
      <c r="C48" s="24">
        <v>167090</v>
      </c>
      <c r="D48" s="24">
        <f>C48</f>
        <v>167090</v>
      </c>
      <c r="E48" s="16">
        <f>C48-D48</f>
        <v>0</v>
      </c>
      <c r="F48" s="24"/>
      <c r="G48" s="24"/>
      <c r="H48" s="16">
        <f t="shared" si="2"/>
        <v>0</v>
      </c>
      <c r="I48" s="24">
        <v>1395</v>
      </c>
      <c r="J48" s="24">
        <f>I48</f>
        <v>1395</v>
      </c>
      <c r="K48" s="16">
        <f t="shared" si="3"/>
        <v>0</v>
      </c>
      <c r="L48" s="17" t="e">
        <f t="shared" si="13"/>
        <v>#DIV/0!</v>
      </c>
      <c r="M48" s="24">
        <v>1395</v>
      </c>
      <c r="N48" s="24">
        <f>M48</f>
        <v>1395</v>
      </c>
      <c r="O48" s="16">
        <f t="shared" si="4"/>
        <v>0</v>
      </c>
      <c r="P48" s="16" t="e">
        <f t="shared" si="17"/>
        <v>#DIV/0!</v>
      </c>
      <c r="Q48" s="24">
        <v>0</v>
      </c>
      <c r="R48" s="24">
        <f t="shared" si="18"/>
        <v>0</v>
      </c>
      <c r="S48" s="16">
        <f t="shared" si="5"/>
        <v>0</v>
      </c>
      <c r="T48" s="24">
        <v>0</v>
      </c>
      <c r="U48" s="24">
        <f>T48</f>
        <v>0</v>
      </c>
      <c r="V48" s="16">
        <f t="shared" si="6"/>
        <v>0</v>
      </c>
    </row>
    <row r="49" spans="1:22" ht="51.75" x14ac:dyDescent="0.25">
      <c r="A49" s="22" t="s">
        <v>69</v>
      </c>
      <c r="B49" s="23" t="s">
        <v>70</v>
      </c>
      <c r="C49" s="24">
        <v>399553.10664999997</v>
      </c>
      <c r="D49" s="24">
        <f>2298.18936+360144.44811</f>
        <v>362442.63747000002</v>
      </c>
      <c r="E49" s="16">
        <f>C49-D49</f>
        <v>37110.469179999956</v>
      </c>
      <c r="F49" s="24"/>
      <c r="G49" s="24"/>
      <c r="H49" s="16">
        <f t="shared" si="2"/>
        <v>0</v>
      </c>
      <c r="I49" s="24">
        <v>3068.4592699999998</v>
      </c>
      <c r="J49" s="24">
        <v>30.05</v>
      </c>
      <c r="K49" s="16">
        <f t="shared" si="3"/>
        <v>3038.4092699999997</v>
      </c>
      <c r="L49" s="17">
        <f t="shared" si="13"/>
        <v>8.187471991427954E-2</v>
      </c>
      <c r="M49" s="24">
        <f>2064.36282+67.66408+2054.348261</f>
        <v>4186.3751609999999</v>
      </c>
      <c r="N49" s="24">
        <v>1148.13724</v>
      </c>
      <c r="O49" s="16">
        <f t="shared" si="4"/>
        <v>3038.2379209999999</v>
      </c>
      <c r="P49" s="16">
        <f t="shared" si="17"/>
        <v>8.187010264578938E-2</v>
      </c>
      <c r="Q49" s="24">
        <v>0</v>
      </c>
      <c r="R49" s="24">
        <f t="shared" si="18"/>
        <v>0</v>
      </c>
      <c r="S49" s="16">
        <f t="shared" si="5"/>
        <v>0</v>
      </c>
      <c r="T49" s="24">
        <v>0</v>
      </c>
      <c r="U49" s="24">
        <v>0</v>
      </c>
      <c r="V49" s="16">
        <f t="shared" si="6"/>
        <v>0</v>
      </c>
    </row>
    <row r="50" spans="1:22" ht="39" x14ac:dyDescent="0.25">
      <c r="A50" s="22" t="s">
        <v>71</v>
      </c>
      <c r="B50" s="23" t="s">
        <v>72</v>
      </c>
      <c r="C50" s="24">
        <v>-359058.46286999999</v>
      </c>
      <c r="D50" s="24">
        <v>-359058.46286999999</v>
      </c>
      <c r="E50" s="16">
        <f t="shared" si="1"/>
        <v>0</v>
      </c>
      <c r="F50" s="24"/>
      <c r="G50" s="24"/>
      <c r="H50" s="16">
        <f t="shared" si="2"/>
        <v>0</v>
      </c>
      <c r="I50" s="24"/>
      <c r="J50" s="24"/>
      <c r="K50" s="16">
        <f t="shared" si="3"/>
        <v>0</v>
      </c>
      <c r="L50" s="17" t="e">
        <f t="shared" si="13"/>
        <v>#DIV/0!</v>
      </c>
      <c r="M50" s="24">
        <v>-2419.8529600000002</v>
      </c>
      <c r="N50" s="24">
        <f>M50</f>
        <v>-2419.8529600000002</v>
      </c>
      <c r="O50" s="16">
        <f t="shared" si="4"/>
        <v>0</v>
      </c>
      <c r="P50" s="16" t="e">
        <f t="shared" si="17"/>
        <v>#DIV/0!</v>
      </c>
      <c r="Q50" s="24">
        <v>0</v>
      </c>
      <c r="R50" s="24">
        <f t="shared" si="18"/>
        <v>0</v>
      </c>
      <c r="S50" s="16">
        <f t="shared" si="5"/>
        <v>0</v>
      </c>
      <c r="T50" s="24">
        <v>0</v>
      </c>
      <c r="U50" s="24">
        <v>0</v>
      </c>
      <c r="V50" s="16">
        <f t="shared" si="6"/>
        <v>0</v>
      </c>
    </row>
    <row r="51" spans="1:22" x14ac:dyDescent="0.25">
      <c r="A51" s="38"/>
      <c r="B51" s="39" t="s">
        <v>73</v>
      </c>
      <c r="C51" s="16">
        <f t="shared" ref="C51:K51" si="20">C6</f>
        <v>3840283.8824300002</v>
      </c>
      <c r="D51" s="16">
        <f t="shared" si="20"/>
        <v>2308541.6885099998</v>
      </c>
      <c r="E51" s="16">
        <f t="shared" si="20"/>
        <v>1531742.1939200005</v>
      </c>
      <c r="F51" s="16">
        <f t="shared" si="20"/>
        <v>3994461.72768</v>
      </c>
      <c r="G51" s="16">
        <f t="shared" si="20"/>
        <v>2473144.59968</v>
      </c>
      <c r="H51" s="16">
        <f t="shared" si="20"/>
        <v>1521317.128</v>
      </c>
      <c r="I51" s="16">
        <f t="shared" si="20"/>
        <v>4143532.674315</v>
      </c>
      <c r="J51" s="16">
        <f t="shared" si="20"/>
        <v>2488301.58262</v>
      </c>
      <c r="K51" s="16">
        <f t="shared" si="20"/>
        <v>1655231.091695</v>
      </c>
      <c r="L51" s="17">
        <f t="shared" si="13"/>
        <v>1.080619896915531</v>
      </c>
      <c r="M51" s="16">
        <f t="shared" ref="M51:V51" si="21">M6</f>
        <v>3967497.9819609998</v>
      </c>
      <c r="N51" s="16">
        <f t="shared" si="21"/>
        <v>2187565.83439</v>
      </c>
      <c r="O51" s="16">
        <f t="shared" si="21"/>
        <v>1779932.1475709998</v>
      </c>
      <c r="P51" s="16">
        <f t="shared" si="17"/>
        <v>1.1620311529160381</v>
      </c>
      <c r="Q51" s="16">
        <f t="shared" si="21"/>
        <v>5163427.6932399999</v>
      </c>
      <c r="R51" s="16">
        <f t="shared" si="21"/>
        <v>2853299.1055100001</v>
      </c>
      <c r="S51" s="16">
        <f t="shared" si="21"/>
        <v>2310128.5877299998</v>
      </c>
      <c r="T51" s="16">
        <f t="shared" si="21"/>
        <v>97607.05</v>
      </c>
      <c r="U51" s="16">
        <f t="shared" si="21"/>
        <v>52372</v>
      </c>
      <c r="V51" s="16">
        <f t="shared" si="21"/>
        <v>45235.05</v>
      </c>
    </row>
    <row r="52" spans="1:22" x14ac:dyDescent="0.25">
      <c r="A52" s="40" t="s">
        <v>74</v>
      </c>
      <c r="B52" s="41" t="s">
        <v>75</v>
      </c>
      <c r="C52" s="42">
        <f>C53+C87</f>
        <v>3747292.3447799999</v>
      </c>
      <c r="D52" s="42">
        <f>D53+D87</f>
        <v>2187765.0036299997</v>
      </c>
      <c r="E52" s="43">
        <f>C52-D52</f>
        <v>1559527.3411500002</v>
      </c>
      <c r="F52" s="42">
        <f>F53+F87</f>
        <v>4109661.7451999998</v>
      </c>
      <c r="G52" s="42">
        <f>G53+G87</f>
        <v>2473144.59968</v>
      </c>
      <c r="H52" s="43">
        <f>F52-G52</f>
        <v>1636517.1455199998</v>
      </c>
      <c r="I52" s="42">
        <f>I53+I87</f>
        <v>4146774.41322</v>
      </c>
      <c r="J52" s="42">
        <f>J53+J87</f>
        <v>2417031.4391999999</v>
      </c>
      <c r="K52" s="43">
        <f>I52-J52</f>
        <v>1729742.9740200001</v>
      </c>
      <c r="L52" s="44">
        <f t="shared" si="13"/>
        <v>1.109145654826726</v>
      </c>
      <c r="M52" s="42">
        <f>M53+M87</f>
        <v>3908516.3406400001</v>
      </c>
      <c r="N52" s="42">
        <f>N53+N87</f>
        <v>2243567.9675399996</v>
      </c>
      <c r="O52" s="43">
        <f>M52-N52</f>
        <v>1664948.3731000004</v>
      </c>
      <c r="P52" s="43">
        <f t="shared" si="17"/>
        <v>1.0675980658808215</v>
      </c>
      <c r="Q52" s="42">
        <f>Q53+Q87</f>
        <v>5298167.4986199997</v>
      </c>
      <c r="R52" s="42">
        <f>R53+R87</f>
        <v>2853299.1055099997</v>
      </c>
      <c r="S52" s="43">
        <f>Q52-R52</f>
        <v>2444868.3931100001</v>
      </c>
      <c r="T52" s="42">
        <f>T53+T87</f>
        <v>124542</v>
      </c>
      <c r="U52" s="42">
        <f>U53+U87</f>
        <v>52372</v>
      </c>
      <c r="V52" s="43">
        <f>T52-U52</f>
        <v>72170</v>
      </c>
    </row>
    <row r="53" spans="1:22" x14ac:dyDescent="0.25">
      <c r="A53" s="45">
        <v>1</v>
      </c>
      <c r="B53" s="46" t="s">
        <v>76</v>
      </c>
      <c r="C53" s="47">
        <f>C54+C58+C63+C64+C65+C66+C80+C81</f>
        <v>3452166.8724199999</v>
      </c>
      <c r="D53" s="47">
        <f>D54+D58+D63+D64+D65+D66+D80+D81</f>
        <v>2106767.5189399999</v>
      </c>
      <c r="E53" s="37">
        <f>C53-D53</f>
        <v>1345399.35348</v>
      </c>
      <c r="F53" s="47">
        <f>F54+F58+F63+F64+F65+F66+F80+F81</f>
        <v>3850499.08225</v>
      </c>
      <c r="G53" s="47">
        <f>G54+G58+G63+G64+G65+G66+G80+G81</f>
        <v>2421598.0477299998</v>
      </c>
      <c r="H53" s="37">
        <f>F53-G53</f>
        <v>1428901.0345200002</v>
      </c>
      <c r="I53" s="47">
        <f>I54+I58+I63+I64+I65+I66+I80+I81</f>
        <v>3879626.19258</v>
      </c>
      <c r="J53" s="47">
        <f>J54+J58+J63+J64+J65+J66+J80+J81</f>
        <v>2355031.9395699999</v>
      </c>
      <c r="K53" s="37">
        <f>I53-J53</f>
        <v>1524594.2530100001</v>
      </c>
      <c r="L53" s="48">
        <f t="shared" si="13"/>
        <v>1.1331908619299511</v>
      </c>
      <c r="M53" s="47">
        <f>M54+M58+M63+M64+M65+M66+M80+M81</f>
        <v>3644533.75911</v>
      </c>
      <c r="N53" s="47">
        <f>N54+N58+N63+N64+N65+N66+N80+N81</f>
        <v>2182026.1500999997</v>
      </c>
      <c r="O53" s="37">
        <f>M53-N53</f>
        <v>1462507.6090100002</v>
      </c>
      <c r="P53" s="37">
        <f t="shared" si="17"/>
        <v>1.0870434902671009</v>
      </c>
      <c r="Q53" s="47">
        <f>Q54+Q58+Q63+Q64+Q65+Q66+Q80+Q81</f>
        <v>4825695.0501999995</v>
      </c>
      <c r="R53" s="47">
        <f>R54+R58+R63+R64+R65+R66+R80+R81</f>
        <v>2664252.1697399998</v>
      </c>
      <c r="S53" s="37">
        <f>Q53-R53</f>
        <v>2161442.8804599997</v>
      </c>
      <c r="T53" s="47">
        <f>T54+T58+T63+T64+T65+T66+T80+T81</f>
        <v>120114</v>
      </c>
      <c r="U53" s="47">
        <f>U54+U58+U63+U64+U65+U66+U80+U81</f>
        <v>52372</v>
      </c>
      <c r="V53" s="37">
        <f>T53-U53</f>
        <v>67742</v>
      </c>
    </row>
    <row r="54" spans="1:22" ht="38.25" x14ac:dyDescent="0.25">
      <c r="A54" s="49" t="s">
        <v>12</v>
      </c>
      <c r="B54" s="30" t="s">
        <v>77</v>
      </c>
      <c r="C54" s="24">
        <f>C56+C57+2463.40078+1800.62364</f>
        <v>218269.59995999999</v>
      </c>
      <c r="D54" s="24">
        <f>D56+D57+193.81538</f>
        <v>21737.819650000001</v>
      </c>
      <c r="E54" s="37">
        <f t="shared" si="1"/>
        <v>196531.78031</v>
      </c>
      <c r="F54" s="24">
        <f>F56+F57+3490+1500</f>
        <v>212167.486</v>
      </c>
      <c r="G54" s="24">
        <f>G56+G57+30+60+30+150+60</f>
        <v>17866.91</v>
      </c>
      <c r="H54" s="37">
        <f t="shared" ref="H54:H105" si="22">F54-G54</f>
        <v>194300.576</v>
      </c>
      <c r="I54" s="24">
        <f>I56+I57+3146.3029+1358.7</f>
        <v>233245.85096000001</v>
      </c>
      <c r="J54" s="24">
        <f>J56+J57+214.89075</f>
        <v>24207.801629999998</v>
      </c>
      <c r="K54" s="37">
        <f t="shared" ref="K54:K105" si="23">I54-J54</f>
        <v>209038.04933000001</v>
      </c>
      <c r="L54" s="48">
        <f t="shared" si="13"/>
        <v>1.0636348431804423</v>
      </c>
      <c r="M54" s="24">
        <f>M56+M57+3049.18049+1290.2715</f>
        <v>231593.10799000002</v>
      </c>
      <c r="N54" s="24">
        <f>N56+N57+214.89075</f>
        <v>24145.634590000001</v>
      </c>
      <c r="O54" s="37">
        <f t="shared" ref="O54:O105" si="24">M54-N54</f>
        <v>207447.47340000002</v>
      </c>
      <c r="P54" s="37">
        <f t="shared" si="17"/>
        <v>1.0555416181178541</v>
      </c>
      <c r="Q54" s="24">
        <f>Q56+Q57+3220+90+120+1200</f>
        <v>214253.70843999999</v>
      </c>
      <c r="R54" s="24">
        <f>R56+R57+270</f>
        <v>20245.168440000001</v>
      </c>
      <c r="S54" s="37">
        <f t="shared" ref="S54:S105" si="25">Q54-R54</f>
        <v>194008.53999999998</v>
      </c>
      <c r="T54" s="24">
        <f>T56+T57</f>
        <v>5365</v>
      </c>
      <c r="U54" s="24">
        <f>U56+U57</f>
        <v>274</v>
      </c>
      <c r="V54" s="37">
        <f t="shared" ref="V54:V105" si="26">T54-U54</f>
        <v>5091</v>
      </c>
    </row>
    <row r="55" spans="1:22" x14ac:dyDescent="0.25">
      <c r="A55" s="49"/>
      <c r="B55" s="30" t="s">
        <v>16</v>
      </c>
      <c r="C55" s="24"/>
      <c r="D55" s="24"/>
      <c r="E55" s="37"/>
      <c r="F55" s="24"/>
      <c r="G55" s="24"/>
      <c r="H55" s="37"/>
      <c r="I55" s="24"/>
      <c r="J55" s="24"/>
      <c r="K55" s="37"/>
      <c r="L55" s="48"/>
      <c r="M55" s="24"/>
      <c r="N55" s="24"/>
      <c r="O55" s="37"/>
      <c r="P55" s="37" t="e">
        <f t="shared" si="17"/>
        <v>#DIV/0!</v>
      </c>
      <c r="Q55" s="24"/>
      <c r="R55" s="24"/>
      <c r="S55" s="37"/>
      <c r="T55" s="24"/>
      <c r="U55" s="24"/>
      <c r="V55" s="37"/>
    </row>
    <row r="56" spans="1:22" ht="25.5" x14ac:dyDescent="0.25">
      <c r="A56" s="49"/>
      <c r="B56" s="30" t="s">
        <v>78</v>
      </c>
      <c r="C56" s="24">
        <v>166036.53469999999</v>
      </c>
      <c r="D56" s="24">
        <v>16601.03571</v>
      </c>
      <c r="E56" s="37">
        <f t="shared" si="1"/>
        <v>149435.49898999999</v>
      </c>
      <c r="F56" s="24">
        <f>159130.9298</f>
        <v>159130.92980000001</v>
      </c>
      <c r="G56" s="24">
        <f>731.6+1923.555+2472.135+30.6828+5584.1+511.43+2217.238</f>
        <v>13470.740800000001</v>
      </c>
      <c r="H56" s="37">
        <f t="shared" si="22"/>
        <v>145660.18900000001</v>
      </c>
      <c r="I56" s="24">
        <v>177666.72261999999</v>
      </c>
      <c r="J56" s="24">
        <v>18749.568810000001</v>
      </c>
      <c r="K56" s="37">
        <f t="shared" si="23"/>
        <v>158917.15380999999</v>
      </c>
      <c r="L56" s="48">
        <f>K56/E56</f>
        <v>1.0634498153657217</v>
      </c>
      <c r="M56" s="24">
        <v>176572.69489000001</v>
      </c>
      <c r="N56" s="24">
        <f>18708.40245</f>
        <v>18708.402450000001</v>
      </c>
      <c r="O56" s="37">
        <f t="shared" si="24"/>
        <v>157864.29244000002</v>
      </c>
      <c r="P56" s="37">
        <f t="shared" si="17"/>
        <v>1.0564042246117442</v>
      </c>
      <c r="Q56" s="24">
        <f>145848.18835+9029.898+6208.077</f>
        <v>161086.16334999999</v>
      </c>
      <c r="R56" s="24">
        <f>15342.82335</f>
        <v>15342.823350000001</v>
      </c>
      <c r="S56" s="37">
        <f t="shared" si="25"/>
        <v>145743.34</v>
      </c>
      <c r="T56" s="24">
        <v>5342</v>
      </c>
      <c r="U56" s="24">
        <v>274</v>
      </c>
      <c r="V56" s="37">
        <f t="shared" si="26"/>
        <v>5068</v>
      </c>
    </row>
    <row r="57" spans="1:22" ht="25.5" x14ac:dyDescent="0.25">
      <c r="A57" s="49"/>
      <c r="B57" s="30" t="s">
        <v>79</v>
      </c>
      <c r="C57" s="24">
        <v>47969.040840000001</v>
      </c>
      <c r="D57" s="24">
        <v>4942.9685600000003</v>
      </c>
      <c r="E57" s="37">
        <f t="shared" si="1"/>
        <v>43026.07228</v>
      </c>
      <c r="F57" s="24">
        <v>48046.556199999999</v>
      </c>
      <c r="G57" s="24">
        <f>220.031+580.914+9.2662+1686.398+153.37+669.605+746.585</f>
        <v>4066.1691999999998</v>
      </c>
      <c r="H57" s="37">
        <f t="shared" si="22"/>
        <v>43980.387000000002</v>
      </c>
      <c r="I57" s="24">
        <v>51074.125440000003</v>
      </c>
      <c r="J57" s="24">
        <v>5243.3420699999997</v>
      </c>
      <c r="K57" s="37">
        <f t="shared" si="23"/>
        <v>45830.783370000005</v>
      </c>
      <c r="L57" s="48">
        <f>K57/E57</f>
        <v>1.0651863147476683</v>
      </c>
      <c r="M57" s="24">
        <v>50680.961109999997</v>
      </c>
      <c r="N57" s="24">
        <v>5222.3413899999996</v>
      </c>
      <c r="O57" s="37">
        <f t="shared" si="24"/>
        <v>45458.619719999995</v>
      </c>
      <c r="P57" s="37">
        <f t="shared" si="17"/>
        <v>1.0565365907482736</v>
      </c>
      <c r="Q57" s="24">
        <f>43941.95509+2720.76+1874.83</f>
        <v>48537.545090000007</v>
      </c>
      <c r="R57" s="24">
        <f>4632.34509</f>
        <v>4632.3450899999998</v>
      </c>
      <c r="S57" s="37">
        <f t="shared" si="25"/>
        <v>43905.200000000004</v>
      </c>
      <c r="T57" s="24">
        <v>23</v>
      </c>
      <c r="U57" s="24"/>
      <c r="V57" s="37">
        <f t="shared" si="26"/>
        <v>23</v>
      </c>
    </row>
    <row r="58" spans="1:22" ht="25.5" x14ac:dyDescent="0.25">
      <c r="A58" s="49" t="s">
        <v>55</v>
      </c>
      <c r="B58" s="30" t="s">
        <v>80</v>
      </c>
      <c r="C58" s="24">
        <f>504337.97388-C92</f>
        <v>310913.15695999999</v>
      </c>
      <c r="D58" s="24">
        <f>236672.48456-D92</f>
        <v>156203.85686</v>
      </c>
      <c r="E58" s="37">
        <f t="shared" si="1"/>
        <v>154709.30009999999</v>
      </c>
      <c r="F58" s="24">
        <f>369816.85803-F92</f>
        <v>208058.33288999996</v>
      </c>
      <c r="G58" s="24">
        <f>119129.55994-G92</f>
        <v>67583.007990000013</v>
      </c>
      <c r="H58" s="37">
        <f t="shared" si="22"/>
        <v>140475.32489999995</v>
      </c>
      <c r="I58" s="24">
        <f>364428.41422-I92</f>
        <v>198567.67112999997</v>
      </c>
      <c r="J58" s="24">
        <f>79569.26895-J92</f>
        <v>18146.23893</v>
      </c>
      <c r="K58" s="37">
        <f t="shared" si="23"/>
        <v>180421.43219999998</v>
      </c>
      <c r="L58" s="48">
        <f>K58/E58</f>
        <v>1.1661964218271321</v>
      </c>
      <c r="M58" s="24">
        <f>309963.18003-M92</f>
        <v>146098.82407999999</v>
      </c>
      <c r="N58" s="24">
        <f>78375.92947-N92</f>
        <v>17410.581640000004</v>
      </c>
      <c r="O58" s="37">
        <f t="shared" si="24"/>
        <v>128688.24243999999</v>
      </c>
      <c r="P58" s="37">
        <f t="shared" si="17"/>
        <v>0.83180676505432649</v>
      </c>
      <c r="Q58" s="24">
        <f>875.6+242.2+138525.62318+7105+49352.89009</f>
        <v>196101.31326999998</v>
      </c>
      <c r="R58" s="24">
        <f>242.2+177.461+1821.25652</f>
        <v>2240.91752</v>
      </c>
      <c r="S58" s="37">
        <f t="shared" si="25"/>
        <v>193860.39575</v>
      </c>
      <c r="T58" s="24">
        <v>5100</v>
      </c>
      <c r="U58" s="24">
        <v>12</v>
      </c>
      <c r="V58" s="37">
        <f t="shared" si="26"/>
        <v>5088</v>
      </c>
    </row>
    <row r="59" spans="1:22" x14ac:dyDescent="0.25">
      <c r="A59" s="50"/>
      <c r="B59" s="51" t="s">
        <v>6</v>
      </c>
      <c r="C59" s="33"/>
      <c r="D59" s="33"/>
      <c r="E59" s="52"/>
      <c r="F59" s="33"/>
      <c r="G59" s="33"/>
      <c r="H59" s="52"/>
      <c r="I59" s="33"/>
      <c r="J59" s="33"/>
      <c r="K59" s="52"/>
      <c r="L59" s="53"/>
      <c r="M59" s="33"/>
      <c r="N59" s="33"/>
      <c r="O59" s="52"/>
      <c r="P59" s="52" t="e">
        <f t="shared" si="17"/>
        <v>#DIV/0!</v>
      </c>
      <c r="Q59" s="33"/>
      <c r="R59" s="33"/>
      <c r="S59" s="52"/>
      <c r="T59" s="33"/>
      <c r="U59" s="33"/>
      <c r="V59" s="52"/>
    </row>
    <row r="60" spans="1:22" ht="25.5" x14ac:dyDescent="0.25">
      <c r="A60" s="22"/>
      <c r="B60" s="30" t="s">
        <v>81</v>
      </c>
      <c r="C60" s="24">
        <f>39458.81977+1176.51264</f>
        <v>40635.332410000003</v>
      </c>
      <c r="D60" s="145">
        <f>479.86693</f>
        <v>479.86693000000002</v>
      </c>
      <c r="E60" s="37">
        <f t="shared" si="1"/>
        <v>40155.465480000006</v>
      </c>
      <c r="F60" s="24">
        <f>40497.22+420.53089</f>
        <v>40917.750890000003</v>
      </c>
      <c r="G60" s="24">
        <f>0+420.53089</f>
        <v>420.53089</v>
      </c>
      <c r="H60" s="37">
        <f t="shared" ref="H60:H62" si="27">F60-G60</f>
        <v>40497.22</v>
      </c>
      <c r="I60" s="24">
        <f>51436</f>
        <v>51436</v>
      </c>
      <c r="J60" s="112"/>
      <c r="K60" s="37">
        <f t="shared" ref="K60:K62" si="28">I60-J60</f>
        <v>51436</v>
      </c>
      <c r="L60" s="48">
        <f t="shared" ref="L60:L68" si="29">K60/E60</f>
        <v>1.280921523014555</v>
      </c>
      <c r="M60" s="24">
        <f>47844.17878</f>
        <v>47844.178780000002</v>
      </c>
      <c r="N60" s="112"/>
      <c r="O60" s="37">
        <f t="shared" ref="O60:O62" si="30">M60-N60</f>
        <v>47844.178780000002</v>
      </c>
      <c r="P60" s="37">
        <f t="shared" si="17"/>
        <v>1.1914736439508955</v>
      </c>
      <c r="Q60" s="24">
        <f>51436+553.70126</f>
        <v>51989.701260000002</v>
      </c>
      <c r="R60" s="112">
        <f>553.70126</f>
        <v>553.70126000000005</v>
      </c>
      <c r="S60" s="37">
        <f t="shared" ref="S60:S62" si="31">Q60-R60</f>
        <v>51436</v>
      </c>
      <c r="T60" s="24">
        <f>45.6884+293.13307+557.23731</f>
        <v>896.05877999999996</v>
      </c>
      <c r="U60" s="112"/>
      <c r="V60" s="37">
        <f t="shared" ref="V60:V62" si="32">T60-U60</f>
        <v>896.05877999999996</v>
      </c>
    </row>
    <row r="61" spans="1:22" ht="25.5" x14ac:dyDescent="0.25">
      <c r="A61" s="22"/>
      <c r="B61" s="30" t="s">
        <v>82</v>
      </c>
      <c r="C61" s="24">
        <f>170942.46337+18607.79595+10202.34471</f>
        <v>199752.60403000002</v>
      </c>
      <c r="D61" s="146">
        <f>133677.56+84.98845+7944.7524</f>
        <v>141707.30085</v>
      </c>
      <c r="E61" s="37">
        <f t="shared" si="1"/>
        <v>58045.303180000017</v>
      </c>
      <c r="F61" s="24">
        <f>39556.84+21615.30388</f>
        <v>61172.143879999996</v>
      </c>
      <c r="G61" s="24">
        <f>12700+65.90388</f>
        <v>12765.90388</v>
      </c>
      <c r="H61" s="37">
        <f t="shared" si="27"/>
        <v>48406.239999999998</v>
      </c>
      <c r="I61" s="24">
        <f>52126.52+715.6756</f>
        <v>52842.195599999999</v>
      </c>
      <c r="J61" s="112">
        <f>5125.96</f>
        <v>5125.96</v>
      </c>
      <c r="K61" s="37">
        <f t="shared" si="28"/>
        <v>47716.2356</v>
      </c>
      <c r="L61" s="48">
        <f t="shared" si="29"/>
        <v>0.82205162150726807</v>
      </c>
      <c r="M61" s="24">
        <f>52096.00772+715.6756</f>
        <v>52811.683320000004</v>
      </c>
      <c r="N61" s="112">
        <f>5125.6</f>
        <v>5125.6000000000004</v>
      </c>
      <c r="O61" s="37">
        <f t="shared" si="30"/>
        <v>47686.083320000005</v>
      </c>
      <c r="P61" s="37">
        <f t="shared" si="17"/>
        <v>0.82153216035626864</v>
      </c>
      <c r="Q61" s="24">
        <f>84376+40697.07</f>
        <v>125073.07</v>
      </c>
      <c r="R61" s="112">
        <f>177.46+1197.67</f>
        <v>1375.13</v>
      </c>
      <c r="S61" s="37">
        <f t="shared" si="31"/>
        <v>123697.94</v>
      </c>
      <c r="T61" s="24">
        <f>18.6</f>
        <v>18.600000000000001</v>
      </c>
      <c r="U61" s="112"/>
      <c r="V61" s="37">
        <f t="shared" si="32"/>
        <v>18.600000000000001</v>
      </c>
    </row>
    <row r="62" spans="1:22" ht="25.5" x14ac:dyDescent="0.25">
      <c r="A62" s="22"/>
      <c r="B62" s="30" t="s">
        <v>83</v>
      </c>
      <c r="C62" s="24">
        <f>7448.26664+3219.123+4521.18444</f>
        <v>15188.574079999999</v>
      </c>
      <c r="D62" s="146">
        <f>7076+772.065+1831.97023</f>
        <v>9680.0352300000013</v>
      </c>
      <c r="E62" s="37">
        <f t="shared" si="1"/>
        <v>5508.5388499999972</v>
      </c>
      <c r="F62" s="24">
        <f>0</f>
        <v>0</v>
      </c>
      <c r="G62" s="24"/>
      <c r="H62" s="37">
        <f t="shared" si="27"/>
        <v>0</v>
      </c>
      <c r="I62" s="24">
        <f>0</f>
        <v>0</v>
      </c>
      <c r="J62" s="112"/>
      <c r="K62" s="37">
        <f t="shared" si="28"/>
        <v>0</v>
      </c>
      <c r="L62" s="48">
        <f t="shared" si="29"/>
        <v>0</v>
      </c>
      <c r="M62" s="24"/>
      <c r="N62" s="112"/>
      <c r="O62" s="37">
        <f t="shared" si="30"/>
        <v>0</v>
      </c>
      <c r="P62" s="37">
        <f t="shared" si="17"/>
        <v>0</v>
      </c>
      <c r="Q62" s="24">
        <f>0</f>
        <v>0</v>
      </c>
      <c r="R62" s="112">
        <f>0</f>
        <v>0</v>
      </c>
      <c r="S62" s="37">
        <f t="shared" si="31"/>
        <v>0</v>
      </c>
      <c r="T62" s="24"/>
      <c r="U62" s="112"/>
      <c r="V62" s="37">
        <f t="shared" si="32"/>
        <v>0</v>
      </c>
    </row>
    <row r="63" spans="1:22" ht="25.5" x14ac:dyDescent="0.25">
      <c r="A63" s="49" t="s">
        <v>84</v>
      </c>
      <c r="B63" s="30" t="s">
        <v>85</v>
      </c>
      <c r="C63" s="24">
        <f>85619.90253</f>
        <v>85619.902530000007</v>
      </c>
      <c r="D63" s="24">
        <v>78353.899680000002</v>
      </c>
      <c r="E63" s="37">
        <f t="shared" si="1"/>
        <v>7266.0028500000044</v>
      </c>
      <c r="F63" s="24">
        <f>97603.94852</f>
        <v>97603.948520000005</v>
      </c>
      <c r="G63" s="24">
        <f>419.393+89674.1</f>
        <v>90093.493000000002</v>
      </c>
      <c r="H63" s="37">
        <f t="shared" si="22"/>
        <v>7510.4555200000032</v>
      </c>
      <c r="I63" s="24">
        <v>102839.29472000001</v>
      </c>
      <c r="J63" s="24">
        <v>94739.62311</v>
      </c>
      <c r="K63" s="37">
        <f t="shared" si="23"/>
        <v>8099.6716100000049</v>
      </c>
      <c r="L63" s="48">
        <f t="shared" si="29"/>
        <v>1.1147355399124292</v>
      </c>
      <c r="M63" s="24">
        <v>94553.528139999995</v>
      </c>
      <c r="N63" s="24">
        <v>86746.530629999994</v>
      </c>
      <c r="O63" s="37">
        <f t="shared" si="24"/>
        <v>7806.9975100000011</v>
      </c>
      <c r="P63" s="37">
        <f t="shared" si="17"/>
        <v>1.0744556080101175</v>
      </c>
      <c r="Q63" s="24">
        <v>99039.413</v>
      </c>
      <c r="R63" s="24">
        <v>90472.168999999994</v>
      </c>
      <c r="S63" s="37">
        <f t="shared" si="25"/>
        <v>8567.2440000000061</v>
      </c>
      <c r="T63" s="24">
        <v>6974</v>
      </c>
      <c r="U63" s="24">
        <v>6974</v>
      </c>
      <c r="V63" s="37">
        <f t="shared" si="26"/>
        <v>0</v>
      </c>
    </row>
    <row r="64" spans="1:22" ht="25.5" x14ac:dyDescent="0.25">
      <c r="A64" s="49" t="s">
        <v>86</v>
      </c>
      <c r="B64" s="30" t="s">
        <v>87</v>
      </c>
      <c r="C64" s="24">
        <v>177283.85339</v>
      </c>
      <c r="D64" s="112">
        <v>159756.56203999999</v>
      </c>
      <c r="E64" s="37">
        <f t="shared" si="1"/>
        <v>17527.291350000014</v>
      </c>
      <c r="F64" s="24">
        <v>755631.62448</v>
      </c>
      <c r="G64" s="112">
        <f>470935.6+283279.57038</f>
        <v>754215.17038000003</v>
      </c>
      <c r="H64" s="37">
        <f t="shared" si="22"/>
        <v>1416.4540999999736</v>
      </c>
      <c r="I64" s="24">
        <v>663100.57830000005</v>
      </c>
      <c r="J64" s="112">
        <v>661681.30723999999</v>
      </c>
      <c r="K64" s="37">
        <f t="shared" si="23"/>
        <v>1419.2710600000573</v>
      </c>
      <c r="L64" s="48">
        <f t="shared" si="29"/>
        <v>8.0974922574106475E-2</v>
      </c>
      <c r="M64" s="24">
        <v>503327.45221000002</v>
      </c>
      <c r="N64" s="112">
        <v>501932.99387000001</v>
      </c>
      <c r="O64" s="37">
        <f t="shared" si="24"/>
        <v>1394.458340000012</v>
      </c>
      <c r="P64" s="37">
        <f t="shared" si="17"/>
        <v>7.9559260592767564E-2</v>
      </c>
      <c r="Q64" s="24">
        <v>1412926.4654699999</v>
      </c>
      <c r="R64" s="112">
        <v>1354273.14506</v>
      </c>
      <c r="S64" s="37">
        <f t="shared" si="25"/>
        <v>58653.320409999928</v>
      </c>
      <c r="T64" s="24"/>
      <c r="U64" s="112"/>
      <c r="V64" s="37">
        <f t="shared" si="26"/>
        <v>0</v>
      </c>
    </row>
    <row r="65" spans="1:22" x14ac:dyDescent="0.25">
      <c r="A65" s="49" t="s">
        <v>88</v>
      </c>
      <c r="B65" s="30" t="s">
        <v>89</v>
      </c>
      <c r="C65" s="24"/>
      <c r="D65" s="112"/>
      <c r="E65" s="37">
        <f t="shared" si="1"/>
        <v>0</v>
      </c>
      <c r="F65" s="24"/>
      <c r="G65" s="112"/>
      <c r="H65" s="37">
        <f t="shared" si="22"/>
        <v>0</v>
      </c>
      <c r="I65" s="24"/>
      <c r="J65" s="112"/>
      <c r="K65" s="37">
        <f t="shared" si="23"/>
        <v>0</v>
      </c>
      <c r="L65" s="48" t="e">
        <f t="shared" si="29"/>
        <v>#DIV/0!</v>
      </c>
      <c r="M65" s="24"/>
      <c r="N65" s="112"/>
      <c r="O65" s="37">
        <f t="shared" si="24"/>
        <v>0</v>
      </c>
      <c r="P65" s="37" t="e">
        <f t="shared" si="17"/>
        <v>#DIV/0!</v>
      </c>
      <c r="Q65" s="24"/>
      <c r="R65" s="112"/>
      <c r="S65" s="37">
        <f t="shared" si="25"/>
        <v>0</v>
      </c>
      <c r="T65" s="24"/>
      <c r="U65" s="112"/>
      <c r="V65" s="37">
        <f t="shared" si="26"/>
        <v>0</v>
      </c>
    </row>
    <row r="66" spans="1:22" ht="38.25" x14ac:dyDescent="0.25">
      <c r="A66" s="49" t="s">
        <v>90</v>
      </c>
      <c r="B66" s="30" t="s">
        <v>91</v>
      </c>
      <c r="C66" s="24">
        <v>2649162.5212400001</v>
      </c>
      <c r="D66" s="112">
        <v>1689930.6891099999</v>
      </c>
      <c r="E66" s="37">
        <f t="shared" si="1"/>
        <v>959231.83213000023</v>
      </c>
      <c r="F66" s="24">
        <v>2542321.96636</v>
      </c>
      <c r="G66" s="112">
        <f>196863.11451+1292315.05185</f>
        <v>1489178.1663599999</v>
      </c>
      <c r="H66" s="37">
        <f t="shared" si="22"/>
        <v>1053143.8</v>
      </c>
      <c r="I66" s="24">
        <v>2659733.6293000001</v>
      </c>
      <c r="J66" s="112">
        <v>1554302.8686599999</v>
      </c>
      <c r="K66" s="37">
        <f t="shared" si="23"/>
        <v>1105430.7606400002</v>
      </c>
      <c r="L66" s="48">
        <f t="shared" si="29"/>
        <v>1.1524125071885503</v>
      </c>
      <c r="M66" s="24">
        <v>2651485.1086200001</v>
      </c>
      <c r="N66" s="112">
        <v>1549952.8613700001</v>
      </c>
      <c r="O66" s="37">
        <f t="shared" si="24"/>
        <v>1101532.24725</v>
      </c>
      <c r="P66" s="37">
        <f t="shared" si="17"/>
        <v>1.1483483036671311</v>
      </c>
      <c r="Q66" s="24">
        <v>2710648.2240200001</v>
      </c>
      <c r="R66" s="112">
        <v>1190249.4697199999</v>
      </c>
      <c r="S66" s="37">
        <f t="shared" si="25"/>
        <v>1520398.7543000001</v>
      </c>
      <c r="T66" s="24">
        <v>102675</v>
      </c>
      <c r="U66" s="112">
        <v>45112</v>
      </c>
      <c r="V66" s="37">
        <f t="shared" si="26"/>
        <v>57563</v>
      </c>
    </row>
    <row r="67" spans="1:22" ht="51" x14ac:dyDescent="0.25">
      <c r="A67" s="49"/>
      <c r="B67" s="54" t="s">
        <v>92</v>
      </c>
      <c r="C67" s="55">
        <f>C68+C71+C72+C73+C74+C75</f>
        <v>2593611.1975500002</v>
      </c>
      <c r="D67" s="55">
        <f>D68+D71+D72+D73+D74+D75</f>
        <v>1624023.4100000001</v>
      </c>
      <c r="E67" s="55">
        <f t="shared" si="1"/>
        <v>969587.78755000001</v>
      </c>
      <c r="F67" s="56">
        <f>F68+F71+F72+F73+F74+F75</f>
        <v>2542322</v>
      </c>
      <c r="G67" s="56">
        <f>G68+G71+G72+G73+G74+G75</f>
        <v>1489178</v>
      </c>
      <c r="H67" s="55">
        <f t="shared" si="22"/>
        <v>1053144</v>
      </c>
      <c r="I67" s="56">
        <f>I68+I71+I72+I73+I74+I75</f>
        <v>2879683.35</v>
      </c>
      <c r="J67" s="56">
        <f>J68+J71+J72+J73+J74+J75</f>
        <v>1679159.24</v>
      </c>
      <c r="K67" s="55">
        <f t="shared" si="23"/>
        <v>1200524.1100000001</v>
      </c>
      <c r="L67" s="57">
        <f t="shared" si="29"/>
        <v>1.2381799001754559</v>
      </c>
      <c r="M67" s="56">
        <f>M68+M71+M72+M73+M74+M75</f>
        <v>2585445.2659999998</v>
      </c>
      <c r="N67" s="56">
        <f>N68+N71+N72+N73+N74+N75</f>
        <v>1475587.93</v>
      </c>
      <c r="O67" s="55">
        <f t="shared" si="24"/>
        <v>1109857.3359999999</v>
      </c>
      <c r="P67" s="55">
        <f t="shared" si="17"/>
        <v>1.1446692607426912</v>
      </c>
      <c r="Q67" s="56">
        <f>Q68+Q71+Q72+Q73+Q74+Q75</f>
        <v>2710648.22</v>
      </c>
      <c r="R67" s="56">
        <f>R68+R71+R72+R73+R74+R75</f>
        <v>1190249.469</v>
      </c>
      <c r="S67" s="55">
        <f t="shared" si="25"/>
        <v>1520398.7510000002</v>
      </c>
      <c r="T67" s="56">
        <f>T68+T71+T72+T73+T74+T75</f>
        <v>104243.20000000001</v>
      </c>
      <c r="U67" s="56">
        <f>U68+U71+U72+U73+U74+U75</f>
        <v>66481.2</v>
      </c>
      <c r="V67" s="55">
        <f t="shared" si="26"/>
        <v>37762.000000000015</v>
      </c>
    </row>
    <row r="68" spans="1:22" x14ac:dyDescent="0.25">
      <c r="A68" s="49" t="s">
        <v>93</v>
      </c>
      <c r="B68" s="58" t="s">
        <v>94</v>
      </c>
      <c r="C68" s="59">
        <f>1819937.67348</f>
        <v>1819937.6734800001</v>
      </c>
      <c r="D68" s="113">
        <f>1345081.7+5690.81</f>
        <v>1350772.51</v>
      </c>
      <c r="E68" s="60">
        <f t="shared" si="1"/>
        <v>469165.1634800001</v>
      </c>
      <c r="F68" s="59">
        <v>1762602</v>
      </c>
      <c r="G68" s="113">
        <v>1272294</v>
      </c>
      <c r="H68" s="60">
        <f t="shared" si="22"/>
        <v>490308</v>
      </c>
      <c r="I68" s="59">
        <f>71047.03+1897056.6</f>
        <v>1968103.6300000001</v>
      </c>
      <c r="J68" s="113">
        <f>17295.64+1329401.6</f>
        <v>1346697.24</v>
      </c>
      <c r="K68" s="60">
        <f t="shared" si="23"/>
        <v>621406.39000000013</v>
      </c>
      <c r="L68" s="61">
        <f t="shared" si="29"/>
        <v>1.3244938848203505</v>
      </c>
      <c r="M68" s="59">
        <f>65262.256+1778409</f>
        <v>1843671.2560000001</v>
      </c>
      <c r="N68" s="113">
        <f>12291.93+1218416.7</f>
        <v>1230708.6299999999</v>
      </c>
      <c r="O68" s="60">
        <f t="shared" si="24"/>
        <v>612962.62600000016</v>
      </c>
      <c r="P68" s="60">
        <f t="shared" si="17"/>
        <v>1.3064964616157611</v>
      </c>
      <c r="Q68" s="59">
        <v>1899834.87</v>
      </c>
      <c r="R68" s="113">
        <v>1024956.72</v>
      </c>
      <c r="S68" s="60">
        <f t="shared" si="25"/>
        <v>874878.15000000014</v>
      </c>
      <c r="T68" s="59">
        <v>27512.6</v>
      </c>
      <c r="U68" s="113">
        <v>13715.2</v>
      </c>
      <c r="V68" s="60">
        <f t="shared" si="26"/>
        <v>13797.399999999998</v>
      </c>
    </row>
    <row r="69" spans="1:22" x14ac:dyDescent="0.25">
      <c r="A69" s="49"/>
      <c r="B69" s="58" t="s">
        <v>6</v>
      </c>
      <c r="C69" s="59"/>
      <c r="D69" s="113"/>
      <c r="E69" s="60"/>
      <c r="F69" s="59"/>
      <c r="G69" s="113"/>
      <c r="H69" s="60"/>
      <c r="I69" s="59"/>
      <c r="J69" s="113"/>
      <c r="K69" s="60"/>
      <c r="L69" s="61"/>
      <c r="M69" s="59"/>
      <c r="N69" s="113"/>
      <c r="O69" s="60"/>
      <c r="P69" s="60" t="e">
        <f t="shared" si="17"/>
        <v>#DIV/0!</v>
      </c>
      <c r="Q69" s="59"/>
      <c r="R69" s="113"/>
      <c r="S69" s="60"/>
      <c r="T69" s="59"/>
      <c r="U69" s="113"/>
      <c r="V69" s="60"/>
    </row>
    <row r="70" spans="1:22" ht="25.5" x14ac:dyDescent="0.25">
      <c r="A70" s="49"/>
      <c r="B70" s="58" t="s">
        <v>95</v>
      </c>
      <c r="C70" s="59">
        <f>1358927.61249+413990.45053</f>
        <v>1772918.06302</v>
      </c>
      <c r="D70" s="113">
        <f>1320261.2+5690.81</f>
        <v>1325952.01</v>
      </c>
      <c r="E70" s="60">
        <f>C70-D70</f>
        <v>446966.05301999999</v>
      </c>
      <c r="F70" s="59">
        <v>1719542</v>
      </c>
      <c r="G70" s="113">
        <v>1252416</v>
      </c>
      <c r="H70" s="60">
        <f t="shared" si="22"/>
        <v>467126</v>
      </c>
      <c r="I70" s="59">
        <f>70487.74+1847623</f>
        <v>1918110.74</v>
      </c>
      <c r="J70" s="113">
        <f>17295.64+1304346.7</f>
        <v>1321642.3399999999</v>
      </c>
      <c r="K70" s="60">
        <f t="shared" si="23"/>
        <v>596468.40000000014</v>
      </c>
      <c r="L70" s="61">
        <f t="shared" ref="L70:L75" si="33">K70/E70</f>
        <v>1.3344825540326002</v>
      </c>
      <c r="M70" s="59">
        <f>64702.95+1732923.9</f>
        <v>1797626.8499999999</v>
      </c>
      <c r="N70" s="113">
        <f>12291.93+1196928.3</f>
        <v>1209220.23</v>
      </c>
      <c r="O70" s="60">
        <f t="shared" si="24"/>
        <v>588406.61999999988</v>
      </c>
      <c r="P70" s="60">
        <f t="shared" ref="P70:P101" si="34">O70/E70</f>
        <v>1.31644588224169</v>
      </c>
      <c r="Q70" s="59">
        <v>1853140.97</v>
      </c>
      <c r="R70" s="113">
        <v>1001275.82</v>
      </c>
      <c r="S70" s="60">
        <f t="shared" si="25"/>
        <v>851865.15</v>
      </c>
      <c r="T70" s="59">
        <v>26004.560000000001</v>
      </c>
      <c r="U70" s="113">
        <v>13058.6</v>
      </c>
      <c r="V70" s="60">
        <f t="shared" si="26"/>
        <v>12945.960000000001</v>
      </c>
    </row>
    <row r="71" spans="1:22" x14ac:dyDescent="0.25">
      <c r="A71" s="49" t="s">
        <v>96</v>
      </c>
      <c r="B71" s="58" t="s">
        <v>97</v>
      </c>
      <c r="C71" s="59">
        <f>2721.79583</f>
        <v>2721.79583</v>
      </c>
      <c r="D71" s="113">
        <f>2176</f>
        <v>2176</v>
      </c>
      <c r="E71" s="60">
        <f t="shared" ref="E71:E75" si="35">C71-D71</f>
        <v>545.79583000000002</v>
      </c>
      <c r="F71" s="59">
        <v>3666</v>
      </c>
      <c r="G71" s="113">
        <v>3666</v>
      </c>
      <c r="H71" s="60">
        <f t="shared" si="22"/>
        <v>0</v>
      </c>
      <c r="I71" s="59">
        <v>11694.7</v>
      </c>
      <c r="J71" s="113">
        <v>3946.3</v>
      </c>
      <c r="K71" s="60">
        <f t="shared" si="23"/>
        <v>7748.4000000000005</v>
      </c>
      <c r="L71" s="61">
        <f t="shared" si="33"/>
        <v>14.196517404685924</v>
      </c>
      <c r="M71" s="59">
        <v>11286.6</v>
      </c>
      <c r="N71" s="113">
        <v>3944.8</v>
      </c>
      <c r="O71" s="60">
        <f t="shared" si="24"/>
        <v>7341.8</v>
      </c>
      <c r="P71" s="60">
        <f t="shared" si="34"/>
        <v>13.451550188648381</v>
      </c>
      <c r="Q71" s="59">
        <v>11287</v>
      </c>
      <c r="R71" s="113">
        <v>3945</v>
      </c>
      <c r="S71" s="60">
        <f t="shared" si="25"/>
        <v>7342</v>
      </c>
      <c r="T71" s="59">
        <v>3</v>
      </c>
      <c r="U71" s="113"/>
      <c r="V71" s="60">
        <f t="shared" si="26"/>
        <v>3</v>
      </c>
    </row>
    <row r="72" spans="1:22" x14ac:dyDescent="0.25">
      <c r="A72" s="49" t="s">
        <v>98</v>
      </c>
      <c r="B72" s="58" t="s">
        <v>99</v>
      </c>
      <c r="C72" s="59">
        <f>24876.83525</f>
        <v>24876.83525</v>
      </c>
      <c r="D72" s="113"/>
      <c r="E72" s="60">
        <f t="shared" si="35"/>
        <v>24876.83525</v>
      </c>
      <c r="F72" s="59">
        <v>29325</v>
      </c>
      <c r="G72" s="113"/>
      <c r="H72" s="60">
        <f t="shared" si="22"/>
        <v>29325</v>
      </c>
      <c r="I72" s="59">
        <f>3056.75+26993.3</f>
        <v>30050.05</v>
      </c>
      <c r="J72" s="113"/>
      <c r="K72" s="60">
        <f t="shared" si="23"/>
        <v>30050.05</v>
      </c>
      <c r="L72" s="61">
        <f t="shared" si="33"/>
        <v>1.2079530896117503</v>
      </c>
      <c r="M72" s="59">
        <f>2965.44+26724</f>
        <v>29689.439999999999</v>
      </c>
      <c r="N72" s="113"/>
      <c r="O72" s="60">
        <f t="shared" si="24"/>
        <v>29689.439999999999</v>
      </c>
      <c r="P72" s="60">
        <f t="shared" si="34"/>
        <v>1.1934572746748402</v>
      </c>
      <c r="Q72" s="59">
        <v>28000</v>
      </c>
      <c r="R72" s="113"/>
      <c r="S72" s="60">
        <f t="shared" si="25"/>
        <v>28000</v>
      </c>
      <c r="T72" s="59">
        <v>12</v>
      </c>
      <c r="U72" s="113"/>
      <c r="V72" s="60">
        <f t="shared" si="26"/>
        <v>12</v>
      </c>
    </row>
    <row r="73" spans="1:22" x14ac:dyDescent="0.25">
      <c r="A73" s="49" t="s">
        <v>100</v>
      </c>
      <c r="B73" s="58" t="s">
        <v>101</v>
      </c>
      <c r="C73" s="59"/>
      <c r="D73" s="113"/>
      <c r="E73" s="60">
        <f t="shared" si="35"/>
        <v>0</v>
      </c>
      <c r="F73" s="59"/>
      <c r="G73" s="113"/>
      <c r="H73" s="60">
        <f t="shared" si="22"/>
        <v>0</v>
      </c>
      <c r="I73" s="59"/>
      <c r="J73" s="113"/>
      <c r="K73" s="60">
        <f t="shared" si="23"/>
        <v>0</v>
      </c>
      <c r="L73" s="61" t="e">
        <f t="shared" si="33"/>
        <v>#DIV/0!</v>
      </c>
      <c r="M73" s="59"/>
      <c r="N73" s="113"/>
      <c r="O73" s="60">
        <f t="shared" si="24"/>
        <v>0</v>
      </c>
      <c r="P73" s="60" t="e">
        <f t="shared" si="34"/>
        <v>#DIV/0!</v>
      </c>
      <c r="Q73" s="59"/>
      <c r="R73" s="113"/>
      <c r="S73" s="60">
        <f t="shared" si="25"/>
        <v>0</v>
      </c>
      <c r="T73" s="59"/>
      <c r="U73" s="113"/>
      <c r="V73" s="60">
        <f t="shared" si="26"/>
        <v>0</v>
      </c>
    </row>
    <row r="74" spans="1:22" ht="25.5" x14ac:dyDescent="0.25">
      <c r="A74" s="49" t="s">
        <v>102</v>
      </c>
      <c r="B74" s="58" t="s">
        <v>103</v>
      </c>
      <c r="C74" s="59"/>
      <c r="D74" s="113"/>
      <c r="E74" s="60">
        <f t="shared" si="35"/>
        <v>0</v>
      </c>
      <c r="F74" s="59"/>
      <c r="G74" s="113"/>
      <c r="H74" s="60">
        <f t="shared" si="22"/>
        <v>0</v>
      </c>
      <c r="I74" s="59">
        <v>2800</v>
      </c>
      <c r="J74" s="113">
        <v>0</v>
      </c>
      <c r="K74" s="60">
        <f t="shared" si="23"/>
        <v>2800</v>
      </c>
      <c r="L74" s="61" t="e">
        <f t="shared" si="33"/>
        <v>#DIV/0!</v>
      </c>
      <c r="M74" s="59"/>
      <c r="N74" s="113"/>
      <c r="O74" s="60">
        <f t="shared" si="24"/>
        <v>0</v>
      </c>
      <c r="P74" s="60" t="e">
        <f t="shared" si="34"/>
        <v>#DIV/0!</v>
      </c>
      <c r="Q74" s="59"/>
      <c r="R74" s="113"/>
      <c r="S74" s="60">
        <f t="shared" si="25"/>
        <v>0</v>
      </c>
      <c r="T74" s="59"/>
      <c r="U74" s="113"/>
      <c r="V74" s="60">
        <f t="shared" si="26"/>
        <v>0</v>
      </c>
    </row>
    <row r="75" spans="1:22" x14ac:dyDescent="0.25">
      <c r="A75" s="49" t="s">
        <v>203</v>
      </c>
      <c r="B75" s="58" t="s">
        <v>104</v>
      </c>
      <c r="C75" s="59">
        <v>746074.89298999996</v>
      </c>
      <c r="D75" s="113">
        <f>271074.9</f>
        <v>271074.90000000002</v>
      </c>
      <c r="E75" s="60">
        <f t="shared" si="35"/>
        <v>474999.99298999994</v>
      </c>
      <c r="F75" s="59">
        <v>746729</v>
      </c>
      <c r="G75" s="113">
        <v>213218</v>
      </c>
      <c r="H75" s="60">
        <f t="shared" si="22"/>
        <v>533511</v>
      </c>
      <c r="I75" s="59">
        <f>811403.1+55631.87</f>
        <v>867034.97</v>
      </c>
      <c r="J75" s="113">
        <v>328515.7</v>
      </c>
      <c r="K75" s="60">
        <f t="shared" si="23"/>
        <v>538519.27</v>
      </c>
      <c r="L75" s="61">
        <f t="shared" si="33"/>
        <v>1.1337247956787597</v>
      </c>
      <c r="M75" s="59">
        <f>21003.57+679794.4</f>
        <v>700797.97</v>
      </c>
      <c r="N75" s="113">
        <v>240934.5</v>
      </c>
      <c r="O75" s="60">
        <f t="shared" si="24"/>
        <v>459863.47</v>
      </c>
      <c r="P75" s="60">
        <f t="shared" si="34"/>
        <v>0.96813363534024588</v>
      </c>
      <c r="Q75" s="59">
        <v>771526.35000000009</v>
      </c>
      <c r="R75" s="113">
        <f>162225.7-909.027+31.076</f>
        <v>161347.74900000001</v>
      </c>
      <c r="S75" s="60">
        <f t="shared" si="25"/>
        <v>610178.60100000002</v>
      </c>
      <c r="T75" s="59">
        <f>24715.6+52000</f>
        <v>76715.600000000006</v>
      </c>
      <c r="U75" s="113">
        <f>52000+766</f>
        <v>52766</v>
      </c>
      <c r="V75" s="60">
        <f t="shared" si="26"/>
        <v>23949.600000000006</v>
      </c>
    </row>
    <row r="76" spans="1:22" x14ac:dyDescent="0.25">
      <c r="A76" s="49"/>
      <c r="B76" s="58" t="s">
        <v>6</v>
      </c>
      <c r="C76" s="59"/>
      <c r="D76" s="113"/>
      <c r="E76" s="60"/>
      <c r="F76" s="59"/>
      <c r="G76" s="113"/>
      <c r="H76" s="60"/>
      <c r="I76" s="59"/>
      <c r="J76" s="113"/>
      <c r="K76" s="60"/>
      <c r="L76" s="61"/>
      <c r="M76" s="59"/>
      <c r="N76" s="113"/>
      <c r="O76" s="60"/>
      <c r="P76" s="60" t="e">
        <f t="shared" si="34"/>
        <v>#DIV/0!</v>
      </c>
      <c r="Q76" s="59"/>
      <c r="R76" s="113"/>
      <c r="S76" s="60"/>
      <c r="T76" s="59"/>
      <c r="U76" s="113"/>
      <c r="V76" s="60"/>
    </row>
    <row r="77" spans="1:22" ht="25.5" x14ac:dyDescent="0.25">
      <c r="A77" s="49"/>
      <c r="B77" s="58" t="s">
        <v>105</v>
      </c>
      <c r="C77" s="59">
        <f>15390+135074.3</f>
        <v>150464.29999999999</v>
      </c>
      <c r="D77" s="113"/>
      <c r="E77" s="60">
        <f t="shared" ref="E77:E79" si="36">C77-D77</f>
        <v>150464.29999999999</v>
      </c>
      <c r="F77" s="59">
        <v>116974</v>
      </c>
      <c r="G77" s="113"/>
      <c r="H77" s="60">
        <f t="shared" ref="H77:H79" si="37">F77-G77</f>
        <v>116974</v>
      </c>
      <c r="I77" s="59">
        <f>4858.5+200733.8</f>
        <v>205592.3</v>
      </c>
      <c r="J77" s="113"/>
      <c r="K77" s="60">
        <f t="shared" ref="K77:K79" si="38">I77-J77</f>
        <v>205592.3</v>
      </c>
      <c r="L77" s="61">
        <f>K77/E77</f>
        <v>1.3663859134691752</v>
      </c>
      <c r="M77" s="59">
        <f>4776.86+181321.1</f>
        <v>186097.96</v>
      </c>
      <c r="N77" s="113"/>
      <c r="O77" s="60">
        <f t="shared" ref="O77:O79" si="39">M77-N77</f>
        <v>186097.96</v>
      </c>
      <c r="P77" s="60">
        <f t="shared" si="34"/>
        <v>1.2368246820009796</v>
      </c>
      <c r="Q77" s="59">
        <v>188000</v>
      </c>
      <c r="R77" s="113"/>
      <c r="S77" s="60">
        <f t="shared" ref="S77:S79" si="40">Q77-R77</f>
        <v>188000</v>
      </c>
      <c r="T77" s="59">
        <v>13415.2</v>
      </c>
      <c r="U77" s="113"/>
      <c r="V77" s="60">
        <f t="shared" ref="V77:V79" si="41">T77-U77</f>
        <v>13415.2</v>
      </c>
    </row>
    <row r="78" spans="1:22" ht="25.5" x14ac:dyDescent="0.25">
      <c r="A78" s="49"/>
      <c r="B78" s="58" t="s">
        <v>82</v>
      </c>
      <c r="C78" s="59">
        <f>3409+243861.7</f>
        <v>247270.7</v>
      </c>
      <c r="D78" s="113">
        <f>123209</f>
        <v>123209</v>
      </c>
      <c r="E78" s="60">
        <f t="shared" si="36"/>
        <v>124061.70000000001</v>
      </c>
      <c r="F78" s="59">
        <v>136543</v>
      </c>
      <c r="G78" s="113">
        <v>85427</v>
      </c>
      <c r="H78" s="60">
        <f t="shared" si="37"/>
        <v>51116</v>
      </c>
      <c r="I78" s="59">
        <f>600.467+236414.7</f>
        <v>237015.16700000002</v>
      </c>
      <c r="J78" s="113">
        <v>151378.70000000001</v>
      </c>
      <c r="K78" s="60">
        <f t="shared" si="38"/>
        <v>85636.467000000004</v>
      </c>
      <c r="L78" s="61">
        <f>K78/E78</f>
        <v>0.69027320276926718</v>
      </c>
      <c r="M78" s="59">
        <f>599.28+180453.6</f>
        <v>181052.88</v>
      </c>
      <c r="N78" s="113">
        <v>100530.5</v>
      </c>
      <c r="O78" s="60">
        <f t="shared" si="39"/>
        <v>80522.38</v>
      </c>
      <c r="P78" s="60">
        <f t="shared" si="34"/>
        <v>0.64905107700442599</v>
      </c>
      <c r="Q78" s="59">
        <v>130000</v>
      </c>
      <c r="R78" s="113">
        <v>20000</v>
      </c>
      <c r="S78" s="60">
        <f t="shared" si="40"/>
        <v>110000</v>
      </c>
      <c r="T78" s="59">
        <f>52000+2001</f>
        <v>54001</v>
      </c>
      <c r="U78" s="113">
        <f>52000</f>
        <v>52000</v>
      </c>
      <c r="V78" s="60">
        <f t="shared" si="41"/>
        <v>2001</v>
      </c>
    </row>
    <row r="79" spans="1:22" ht="25.5" x14ac:dyDescent="0.25">
      <c r="A79" s="49"/>
      <c r="B79" s="58" t="s">
        <v>83</v>
      </c>
      <c r="C79" s="59">
        <f>3513+92819.4</f>
        <v>96332.4</v>
      </c>
      <c r="D79" s="113">
        <f>61934</f>
        <v>61934</v>
      </c>
      <c r="E79" s="60">
        <f t="shared" si="36"/>
        <v>34398.399999999994</v>
      </c>
      <c r="F79" s="59">
        <v>30948</v>
      </c>
      <c r="G79" s="113">
        <v>30948</v>
      </c>
      <c r="H79" s="60">
        <f t="shared" si="37"/>
        <v>0</v>
      </c>
      <c r="I79" s="59">
        <f>30547.8+69209.5</f>
        <v>99757.3</v>
      </c>
      <c r="J79" s="113">
        <v>55699.9</v>
      </c>
      <c r="K79" s="60">
        <f t="shared" si="38"/>
        <v>44057.4</v>
      </c>
      <c r="L79" s="61">
        <f>K79/E79</f>
        <v>1.2807979440904231</v>
      </c>
      <c r="M79" s="59">
        <f>501.87+66889.7</f>
        <v>67391.569999999992</v>
      </c>
      <c r="N79" s="113">
        <v>54209.8</v>
      </c>
      <c r="O79" s="60">
        <f t="shared" si="39"/>
        <v>13181.76999999999</v>
      </c>
      <c r="P79" s="60">
        <f t="shared" si="34"/>
        <v>0.38320881203776896</v>
      </c>
      <c r="Q79" s="59">
        <v>20000</v>
      </c>
      <c r="R79" s="113">
        <v>5000</v>
      </c>
      <c r="S79" s="60">
        <f t="shared" si="40"/>
        <v>15000</v>
      </c>
      <c r="T79" s="59">
        <v>302</v>
      </c>
      <c r="U79" s="113"/>
      <c r="V79" s="60">
        <f t="shared" si="41"/>
        <v>302</v>
      </c>
    </row>
    <row r="80" spans="1:22" ht="25.5" x14ac:dyDescent="0.25">
      <c r="A80" s="22" t="s">
        <v>106</v>
      </c>
      <c r="B80" s="30" t="s">
        <v>107</v>
      </c>
      <c r="C80" s="24">
        <v>46.137569999999997</v>
      </c>
      <c r="D80" s="114"/>
      <c r="E80" s="37">
        <f t="shared" si="1"/>
        <v>46.137569999999997</v>
      </c>
      <c r="F80" s="24">
        <v>140</v>
      </c>
      <c r="G80" s="114"/>
      <c r="H80" s="37">
        <f t="shared" si="22"/>
        <v>140</v>
      </c>
      <c r="I80" s="24">
        <v>36.06521</v>
      </c>
      <c r="J80" s="114"/>
      <c r="K80" s="37">
        <f t="shared" si="23"/>
        <v>36.06521</v>
      </c>
      <c r="L80" s="48">
        <f>K80/E80</f>
        <v>0.78168854579900937</v>
      </c>
      <c r="M80" s="24">
        <v>36.065199999999997</v>
      </c>
      <c r="N80" s="114"/>
      <c r="O80" s="37">
        <f t="shared" si="24"/>
        <v>36.065199999999997</v>
      </c>
      <c r="P80" s="37">
        <f t="shared" si="34"/>
        <v>0.78168832905590824</v>
      </c>
      <c r="Q80" s="24">
        <v>135</v>
      </c>
      <c r="R80" s="114"/>
      <c r="S80" s="37">
        <f t="shared" si="25"/>
        <v>135</v>
      </c>
      <c r="T80" s="24"/>
      <c r="U80" s="114"/>
      <c r="V80" s="37">
        <f t="shared" si="26"/>
        <v>0</v>
      </c>
    </row>
    <row r="81" spans="1:22" ht="25.5" x14ac:dyDescent="0.25">
      <c r="A81" s="22" t="s">
        <v>108</v>
      </c>
      <c r="B81" s="30" t="s">
        <v>109</v>
      </c>
      <c r="C81" s="24">
        <f>C83+C84+C85+C86</f>
        <v>10871.700769999999</v>
      </c>
      <c r="D81" s="112">
        <f>D83+D84+D85+D86</f>
        <v>784.69159999999999</v>
      </c>
      <c r="E81" s="37">
        <f t="shared" si="1"/>
        <v>10087.009169999999</v>
      </c>
      <c r="F81" s="24">
        <f>F83+F84+F85+F86+8200</f>
        <v>34575.724000000002</v>
      </c>
      <c r="G81" s="112">
        <f>G83+G84+G85+G86</f>
        <v>2661.3</v>
      </c>
      <c r="H81" s="37">
        <f t="shared" si="22"/>
        <v>31914.424000000003</v>
      </c>
      <c r="I81" s="24">
        <f>I83+I84+I85+I86+8200</f>
        <v>22103.102960000004</v>
      </c>
      <c r="J81" s="112">
        <f>J85</f>
        <v>1954.1</v>
      </c>
      <c r="K81" s="37">
        <f t="shared" si="23"/>
        <v>20149.002960000005</v>
      </c>
      <c r="L81" s="48">
        <f>K81/E81</f>
        <v>1.9975200399267612</v>
      </c>
      <c r="M81" s="24">
        <f>M83+M84+M85+M86+8200</f>
        <v>17439.672870000002</v>
      </c>
      <c r="N81" s="112">
        <f>N85</f>
        <v>1837.548</v>
      </c>
      <c r="O81" s="37">
        <f t="shared" si="24"/>
        <v>15602.124870000001</v>
      </c>
      <c r="P81" s="37">
        <f t="shared" si="34"/>
        <v>1.5467543061626861</v>
      </c>
      <c r="Q81" s="24">
        <f>Q83+Q84+Q86+Q85</f>
        <v>192590.92599999998</v>
      </c>
      <c r="R81" s="112">
        <f>R83+R84+R85+R86</f>
        <v>6771.3</v>
      </c>
      <c r="S81" s="37">
        <f t="shared" si="25"/>
        <v>185819.62599999999</v>
      </c>
      <c r="T81" s="24">
        <f>T83+T84+T85+T86</f>
        <v>0</v>
      </c>
      <c r="U81" s="112">
        <f>U83+U84+U85+U86</f>
        <v>0</v>
      </c>
      <c r="V81" s="37">
        <f t="shared" si="26"/>
        <v>0</v>
      </c>
    </row>
    <row r="82" spans="1:22" x14ac:dyDescent="0.25">
      <c r="A82" s="22"/>
      <c r="B82" s="30" t="s">
        <v>16</v>
      </c>
      <c r="C82" s="24"/>
      <c r="D82" s="112"/>
      <c r="E82" s="37"/>
      <c r="F82" s="24"/>
      <c r="G82" s="112"/>
      <c r="H82" s="37"/>
      <c r="I82" s="24"/>
      <c r="J82" s="112"/>
      <c r="K82" s="37"/>
      <c r="L82" s="48"/>
      <c r="M82" s="24"/>
      <c r="N82" s="112"/>
      <c r="O82" s="37"/>
      <c r="P82" s="37" t="e">
        <f t="shared" si="34"/>
        <v>#DIV/0!</v>
      </c>
      <c r="Q82" s="24"/>
      <c r="R82" s="112"/>
      <c r="S82" s="37"/>
      <c r="T82" s="24"/>
      <c r="U82" s="112"/>
      <c r="V82" s="37"/>
    </row>
    <row r="83" spans="1:22" ht="76.5" x14ac:dyDescent="0.25">
      <c r="A83" s="22"/>
      <c r="B83" s="30" t="s">
        <v>110</v>
      </c>
      <c r="C83" s="24">
        <f>8113.01314</f>
        <v>8113.01314</v>
      </c>
      <c r="D83" s="112"/>
      <c r="E83" s="37">
        <f t="shared" si="1"/>
        <v>8113.01314</v>
      </c>
      <c r="F83" s="24">
        <v>3548.9</v>
      </c>
      <c r="G83" s="112">
        <f>63.9</f>
        <v>63.9</v>
      </c>
      <c r="H83" s="37">
        <f t="shared" si="22"/>
        <v>3485</v>
      </c>
      <c r="I83" s="24">
        <v>4613.7277000000004</v>
      </c>
      <c r="J83" s="112"/>
      <c r="K83" s="37">
        <f t="shared" si="23"/>
        <v>4613.7277000000004</v>
      </c>
      <c r="L83" s="48">
        <f t="shared" ref="L83:L88" si="42">K83/E83</f>
        <v>0.56868238968487617</v>
      </c>
      <c r="M83" s="24">
        <v>4613.7273699999996</v>
      </c>
      <c r="N83" s="112"/>
      <c r="O83" s="37">
        <f t="shared" si="24"/>
        <v>4613.7273699999996</v>
      </c>
      <c r="P83" s="37">
        <f t="shared" si="34"/>
        <v>0.56868234900948278</v>
      </c>
      <c r="Q83" s="24">
        <f>4598.2+69.6</f>
        <v>4667.8</v>
      </c>
      <c r="R83" s="112">
        <v>69.599999999999994</v>
      </c>
      <c r="S83" s="37">
        <f t="shared" si="25"/>
        <v>4598.2</v>
      </c>
      <c r="T83" s="24"/>
      <c r="U83" s="112"/>
      <c r="V83" s="37">
        <f t="shared" si="26"/>
        <v>0</v>
      </c>
    </row>
    <row r="84" spans="1:22" ht="25.5" x14ac:dyDescent="0.25">
      <c r="A84" s="22"/>
      <c r="B84" s="30" t="s">
        <v>111</v>
      </c>
      <c r="C84" s="24">
        <f>1327.34575-C103</f>
        <v>1327.34575</v>
      </c>
      <c r="D84" s="112"/>
      <c r="E84" s="37">
        <f t="shared" si="1"/>
        <v>1327.34575</v>
      </c>
      <c r="F84" s="24">
        <v>0</v>
      </c>
      <c r="G84" s="112"/>
      <c r="H84" s="37">
        <f t="shared" si="22"/>
        <v>0</v>
      </c>
      <c r="I84" s="24">
        <f>711.90742-I103</f>
        <v>691.41542000000004</v>
      </c>
      <c r="J84" s="112"/>
      <c r="K84" s="37">
        <f t="shared" si="23"/>
        <v>691.41542000000004</v>
      </c>
      <c r="L84" s="48">
        <f t="shared" si="42"/>
        <v>0.52090076756564752</v>
      </c>
      <c r="M84" s="24">
        <f>711.90742-M103</f>
        <v>691.41542000000004</v>
      </c>
      <c r="N84" s="112"/>
      <c r="O84" s="37">
        <f t="shared" si="24"/>
        <v>691.41542000000004</v>
      </c>
      <c r="P84" s="37">
        <f t="shared" si="34"/>
        <v>0.52090076756564752</v>
      </c>
      <c r="Q84" s="24"/>
      <c r="R84" s="112"/>
      <c r="S84" s="37">
        <f t="shared" si="25"/>
        <v>0</v>
      </c>
      <c r="T84" s="24"/>
      <c r="U84" s="112"/>
      <c r="V84" s="37">
        <f t="shared" si="26"/>
        <v>0</v>
      </c>
    </row>
    <row r="85" spans="1:22" ht="25.5" x14ac:dyDescent="0.25">
      <c r="A85" s="22"/>
      <c r="B85" s="30" t="s">
        <v>112</v>
      </c>
      <c r="C85" s="24">
        <f>1811.79135-C104</f>
        <v>1431.3418799999999</v>
      </c>
      <c r="D85" s="112">
        <f>784.6916</f>
        <v>784.69159999999999</v>
      </c>
      <c r="E85" s="37">
        <f t="shared" si="1"/>
        <v>646.65027999999995</v>
      </c>
      <c r="F85" s="24">
        <v>2826.8240000000001</v>
      </c>
      <c r="G85" s="112">
        <f>2597.4</f>
        <v>2597.4</v>
      </c>
      <c r="H85" s="37">
        <f t="shared" si="22"/>
        <v>229.42399999999998</v>
      </c>
      <c r="I85" s="24">
        <f>4427.93368-I104</f>
        <v>4051.0811800000001</v>
      </c>
      <c r="J85" s="112">
        <v>1954.1</v>
      </c>
      <c r="K85" s="37">
        <f t="shared" si="23"/>
        <v>2096.9811800000002</v>
      </c>
      <c r="L85" s="48">
        <f t="shared" si="42"/>
        <v>3.2428365762093234</v>
      </c>
      <c r="M85" s="24">
        <f>4310.88168-M104</f>
        <v>3934.5300800000005</v>
      </c>
      <c r="N85" s="112">
        <v>1837.548</v>
      </c>
      <c r="O85" s="37">
        <f t="shared" si="24"/>
        <v>2096.9820800000007</v>
      </c>
      <c r="P85" s="37">
        <f t="shared" si="34"/>
        <v>3.2428379679971697</v>
      </c>
      <c r="Q85" s="24">
        <f>6904.126+19</f>
        <v>6923.1260000000002</v>
      </c>
      <c r="R85" s="112">
        <v>6701.7</v>
      </c>
      <c r="S85" s="37">
        <f t="shared" si="25"/>
        <v>221.42600000000039</v>
      </c>
      <c r="T85" s="24"/>
      <c r="U85" s="112"/>
      <c r="V85" s="37">
        <f t="shared" si="26"/>
        <v>0</v>
      </c>
    </row>
    <row r="86" spans="1:22" x14ac:dyDescent="0.25">
      <c r="A86" s="22"/>
      <c r="B86" s="30" t="s">
        <v>113</v>
      </c>
      <c r="C86" s="24"/>
      <c r="D86" s="112"/>
      <c r="E86" s="37">
        <f t="shared" si="1"/>
        <v>0</v>
      </c>
      <c r="F86" s="24">
        <v>20000</v>
      </c>
      <c r="G86" s="112"/>
      <c r="H86" s="37">
        <f t="shared" si="22"/>
        <v>20000</v>
      </c>
      <c r="I86" s="24">
        <v>4546.8786600000003</v>
      </c>
      <c r="J86" s="112"/>
      <c r="K86" s="37">
        <f t="shared" si="23"/>
        <v>4546.8786600000003</v>
      </c>
      <c r="L86" s="48" t="e">
        <f t="shared" si="42"/>
        <v>#DIV/0!</v>
      </c>
      <c r="M86" s="24"/>
      <c r="N86" s="112"/>
      <c r="O86" s="37">
        <f t="shared" si="24"/>
        <v>0</v>
      </c>
      <c r="P86" s="37" t="e">
        <f t="shared" si="34"/>
        <v>#DIV/0!</v>
      </c>
      <c r="Q86" s="24">
        <v>181000</v>
      </c>
      <c r="R86" s="112"/>
      <c r="S86" s="37">
        <f t="shared" si="25"/>
        <v>181000</v>
      </c>
      <c r="T86" s="24"/>
      <c r="U86" s="112"/>
      <c r="V86" s="37">
        <f t="shared" si="26"/>
        <v>0</v>
      </c>
    </row>
    <row r="87" spans="1:22" x14ac:dyDescent="0.25">
      <c r="A87" s="13" t="s">
        <v>114</v>
      </c>
      <c r="B87" s="62" t="s">
        <v>115</v>
      </c>
      <c r="C87" s="47">
        <f>C88+C92+C97+C98+C99+C100</f>
        <v>295125.47236000001</v>
      </c>
      <c r="D87" s="47">
        <f>D88+D92+D97+D98+D99+D100</f>
        <v>80997.484689999997</v>
      </c>
      <c r="E87" s="37">
        <f t="shared" si="1"/>
        <v>214127.98767</v>
      </c>
      <c r="F87" s="47">
        <f>F88+F92+F97+F98+F99+F100</f>
        <v>259162.66295000003</v>
      </c>
      <c r="G87" s="47">
        <f>G88+G92+G97+G98+G99+G100</f>
        <v>51546.551950000001</v>
      </c>
      <c r="H87" s="37">
        <f t="shared" si="22"/>
        <v>207616.11100000003</v>
      </c>
      <c r="I87" s="47">
        <f>I88+I92+I97+I98+I99+I100</f>
        <v>267148.22064000001</v>
      </c>
      <c r="J87" s="47">
        <f>J88+J92+J97+J98+J99+J100</f>
        <v>61999.499629999998</v>
      </c>
      <c r="K87" s="37">
        <f t="shared" si="23"/>
        <v>205148.72101000001</v>
      </c>
      <c r="L87" s="48">
        <f t="shared" si="42"/>
        <v>0.95806588966857409</v>
      </c>
      <c r="M87" s="47">
        <f>M88+M92+M97+M98+M99+M100</f>
        <v>263982.58153000002</v>
      </c>
      <c r="N87" s="47">
        <f>N88+N92+N97+N98+N99+N100</f>
        <v>61541.817439999999</v>
      </c>
      <c r="O87" s="37">
        <f t="shared" si="24"/>
        <v>202440.76409000001</v>
      </c>
      <c r="P87" s="37">
        <f t="shared" si="34"/>
        <v>0.94541944886713469</v>
      </c>
      <c r="Q87" s="47">
        <f>Q88+Q92+Q97+Q98+Q99+Q100</f>
        <v>472472.44841999997</v>
      </c>
      <c r="R87" s="47">
        <f>R88+R92+R97+R98+R99+R100</f>
        <v>189046.93577000001</v>
      </c>
      <c r="S87" s="37">
        <f t="shared" si="25"/>
        <v>283425.51264999993</v>
      </c>
      <c r="T87" s="47">
        <f>T88+T92+T97+T98+T99+T100</f>
        <v>4428</v>
      </c>
      <c r="U87" s="47">
        <f>U88+U92+U97+U98+U99+U100</f>
        <v>0</v>
      </c>
      <c r="V87" s="37">
        <f t="shared" si="26"/>
        <v>4428</v>
      </c>
    </row>
    <row r="88" spans="1:22" ht="38.25" x14ac:dyDescent="0.25">
      <c r="A88" s="22" t="s">
        <v>116</v>
      </c>
      <c r="B88" s="30" t="s">
        <v>117</v>
      </c>
      <c r="C88" s="24">
        <f>C90+C91+203.14453+1086.80957+382.5789+429.7995</f>
        <v>101320.20597</v>
      </c>
      <c r="D88" s="24">
        <f>D90+D91</f>
        <v>528.85699</v>
      </c>
      <c r="E88" s="37">
        <f>C88-D88</f>
        <v>100791.34898</v>
      </c>
      <c r="F88" s="24">
        <f>F90+F91+2085</f>
        <v>96825.837809999997</v>
      </c>
      <c r="G88" s="112">
        <f>G90+G91</f>
        <v>0</v>
      </c>
      <c r="H88" s="37">
        <f t="shared" si="22"/>
        <v>96825.837809999997</v>
      </c>
      <c r="I88" s="24">
        <f>I90+I91+35.6057+262.52397+538.52791+684.25494+55.654</f>
        <v>100890.13304999999</v>
      </c>
      <c r="J88" s="112">
        <f>J90+J91</f>
        <v>576.46960999999999</v>
      </c>
      <c r="K88" s="37">
        <f t="shared" si="23"/>
        <v>100313.66343999999</v>
      </c>
      <c r="L88" s="48">
        <f t="shared" si="42"/>
        <v>0.99526064940261105</v>
      </c>
      <c r="M88" s="24">
        <f>M90+M91+55.654+678.64784+299.33189+262.52397+35.6057</f>
        <v>99721.381980000006</v>
      </c>
      <c r="N88" s="112">
        <f>N90+N91</f>
        <v>576.46960999999999</v>
      </c>
      <c r="O88" s="37">
        <f t="shared" si="24"/>
        <v>99144.912370000005</v>
      </c>
      <c r="P88" s="37">
        <f t="shared" si="34"/>
        <v>0.98366490153508424</v>
      </c>
      <c r="Q88" s="24">
        <f>Q90+Q91+1545</f>
        <v>91577.217099999994</v>
      </c>
      <c r="R88" s="112">
        <f>R90+R91</f>
        <v>0</v>
      </c>
      <c r="S88" s="37">
        <f t="shared" si="25"/>
        <v>91577.217099999994</v>
      </c>
      <c r="T88" s="24">
        <v>2647</v>
      </c>
      <c r="U88" s="112">
        <f>U90+U91</f>
        <v>0</v>
      </c>
      <c r="V88" s="37">
        <f t="shared" si="26"/>
        <v>2647</v>
      </c>
    </row>
    <row r="89" spans="1:22" x14ac:dyDescent="0.25">
      <c r="A89" s="22"/>
      <c r="B89" s="30" t="s">
        <v>16</v>
      </c>
      <c r="C89" s="24"/>
      <c r="D89" s="112"/>
      <c r="E89" s="37"/>
      <c r="F89" s="24"/>
      <c r="G89" s="112"/>
      <c r="H89" s="37"/>
      <c r="I89" s="24"/>
      <c r="J89" s="112"/>
      <c r="K89" s="37"/>
      <c r="L89" s="48"/>
      <c r="M89" s="24"/>
      <c r="N89" s="112"/>
      <c r="O89" s="37"/>
      <c r="P89" s="37" t="e">
        <f t="shared" si="34"/>
        <v>#DIV/0!</v>
      </c>
      <c r="Q89" s="24"/>
      <c r="R89" s="112"/>
      <c r="S89" s="37"/>
      <c r="T89" s="24"/>
      <c r="U89" s="112"/>
      <c r="V89" s="37"/>
    </row>
    <row r="90" spans="1:22" ht="25.5" x14ac:dyDescent="0.25">
      <c r="A90" s="22"/>
      <c r="B90" s="30" t="s">
        <v>118</v>
      </c>
      <c r="C90" s="24">
        <f>12996.88093+47584.50792+10979.56817+4623.84698</f>
        <v>76184.804000000004</v>
      </c>
      <c r="D90" s="112">
        <f>57.47126+68.96552+231.15425+57.47126</f>
        <v>415.06228999999996</v>
      </c>
      <c r="E90" s="37">
        <f>C90-D90</f>
        <v>75769.741710000002</v>
      </c>
      <c r="F90" s="24">
        <v>72758.522419999994</v>
      </c>
      <c r="G90" s="112">
        <v>0</v>
      </c>
      <c r="H90" s="37">
        <f t="shared" si="22"/>
        <v>72758.522419999994</v>
      </c>
      <c r="I90" s="24">
        <f>4180.6443+11177.073+13796.18042+47169.45462</f>
        <v>76323.352339999998</v>
      </c>
      <c r="J90" s="112">
        <f>51.75+17.25+284.632+89.125</f>
        <v>442.75700000000001</v>
      </c>
      <c r="K90" s="37">
        <f t="shared" si="23"/>
        <v>75880.59534</v>
      </c>
      <c r="L90" s="48">
        <f>K90/E90</f>
        <v>1.0014630329666989</v>
      </c>
      <c r="M90" s="24">
        <f>4039.46899+10752.43277+13743.55268+47169.45462</f>
        <v>75704.909060000005</v>
      </c>
      <c r="N90" s="112">
        <f>51.75+17.25+284.632+89.125</f>
        <v>442.75700000000001</v>
      </c>
      <c r="O90" s="37">
        <f t="shared" si="24"/>
        <v>75262.152060000008</v>
      </c>
      <c r="P90" s="37">
        <f t="shared" si="34"/>
        <v>0.99330089243351605</v>
      </c>
      <c r="Q90" s="24">
        <v>69150.028189999997</v>
      </c>
      <c r="R90" s="112"/>
      <c r="S90" s="37">
        <f t="shared" si="25"/>
        <v>69150.028189999997</v>
      </c>
      <c r="T90" s="24">
        <v>2616</v>
      </c>
      <c r="U90" s="112"/>
      <c r="V90" s="37">
        <f t="shared" si="26"/>
        <v>2616</v>
      </c>
    </row>
    <row r="91" spans="1:22" ht="25.5" x14ac:dyDescent="0.25">
      <c r="A91" s="22"/>
      <c r="B91" s="30" t="s">
        <v>119</v>
      </c>
      <c r="C91" s="24">
        <f>3913.52058+14281.35242+3299.6846+1538.51187</f>
        <v>23033.069469999999</v>
      </c>
      <c r="D91" s="112">
        <f>17.35632+20.82759+58.25447+17.35632</f>
        <v>113.79469999999999</v>
      </c>
      <c r="E91" s="37">
        <f>C91-D91</f>
        <v>22919.27477</v>
      </c>
      <c r="F91" s="24">
        <v>21982.31539</v>
      </c>
      <c r="G91" s="112">
        <v>0</v>
      </c>
      <c r="H91" s="37">
        <f t="shared" si="22"/>
        <v>21982.31539</v>
      </c>
      <c r="I91" s="24">
        <f>14294.13624+1229.6095+3300.07031+4166.39814</f>
        <v>22990.214190000002</v>
      </c>
      <c r="J91" s="112">
        <f>15.6285+5.2095+85.95886+26.91575</f>
        <v>133.71261000000001</v>
      </c>
      <c r="K91" s="37">
        <f t="shared" si="23"/>
        <v>22856.501580000004</v>
      </c>
      <c r="L91" s="48">
        <f>K91/E91</f>
        <v>0.99726111796163097</v>
      </c>
      <c r="M91" s="24">
        <f>1208.74236+3194.68874+4114.82891999999+14166.4495</f>
        <v>22684.70952</v>
      </c>
      <c r="N91" s="112">
        <f>15.6285+5.2095+85.95886+26.91575</f>
        <v>133.71261000000001</v>
      </c>
      <c r="O91" s="37">
        <f t="shared" si="24"/>
        <v>22550.996910000002</v>
      </c>
      <c r="P91" s="37">
        <f t="shared" si="34"/>
        <v>0.98393152210548773</v>
      </c>
      <c r="Q91" s="24">
        <v>20882.188910000001</v>
      </c>
      <c r="R91" s="112"/>
      <c r="S91" s="37">
        <f t="shared" si="25"/>
        <v>20882.188910000001</v>
      </c>
      <c r="T91" s="24"/>
      <c r="U91" s="112"/>
      <c r="V91" s="37">
        <f t="shared" si="26"/>
        <v>0</v>
      </c>
    </row>
    <row r="92" spans="1:22" ht="25.5" x14ac:dyDescent="0.25">
      <c r="A92" s="22" t="s">
        <v>120</v>
      </c>
      <c r="B92" s="30" t="s">
        <v>121</v>
      </c>
      <c r="C92" s="24">
        <f>1152.29503+36410.98929+3299.6846+152561.848</f>
        <v>193424.81692000001</v>
      </c>
      <c r="D92" s="112">
        <v>80468.627699999997</v>
      </c>
      <c r="E92" s="37">
        <f t="shared" si="1"/>
        <v>112956.18922000001</v>
      </c>
      <c r="F92" s="24">
        <f>2500+22219.94+578.5+2297.271+5+2393.36219+2706.276+2167.9+48840.27595+10000+7000+750+5000+14549.8+25300+15450.2</f>
        <v>161758.52514000004</v>
      </c>
      <c r="G92" s="112">
        <f>2706.276+48840.27595</f>
        <v>51546.551950000001</v>
      </c>
      <c r="H92" s="37">
        <f t="shared" si="22"/>
        <v>110211.97319000005</v>
      </c>
      <c r="I92" s="24">
        <f>135851.80381+569.512+2159.83428+27279.593</f>
        <v>165860.74309</v>
      </c>
      <c r="J92" s="112">
        <f>61423.03002</f>
        <v>61423.030019999998</v>
      </c>
      <c r="K92" s="37">
        <f t="shared" si="23"/>
        <v>104437.71307</v>
      </c>
      <c r="L92" s="48">
        <f>K92/E92</f>
        <v>0.92458601685465025</v>
      </c>
      <c r="M92" s="24">
        <f>134902.52564+569.512+2135.54227+26256.77604</f>
        <v>163864.35595</v>
      </c>
      <c r="N92" s="112">
        <f>60965.34783</f>
        <v>60965.347829999999</v>
      </c>
      <c r="O92" s="37">
        <f t="shared" si="24"/>
        <v>102899.00812</v>
      </c>
      <c r="P92" s="37">
        <f t="shared" si="34"/>
        <v>0.91096387750464858</v>
      </c>
      <c r="Q92" s="24">
        <v>380316.93131999997</v>
      </c>
      <c r="R92" s="112">
        <v>189046.93577000001</v>
      </c>
      <c r="S92" s="37">
        <f t="shared" si="25"/>
        <v>191269.99554999996</v>
      </c>
      <c r="T92" s="24">
        <v>1781</v>
      </c>
      <c r="U92" s="112"/>
      <c r="V92" s="37">
        <f t="shared" si="26"/>
        <v>1781</v>
      </c>
    </row>
    <row r="93" spans="1:22" x14ac:dyDescent="0.25">
      <c r="A93" s="49"/>
      <c r="B93" s="30" t="s">
        <v>6</v>
      </c>
      <c r="C93" s="24"/>
      <c r="D93" s="24"/>
      <c r="E93" s="37"/>
      <c r="F93" s="24"/>
      <c r="G93" s="24"/>
      <c r="H93" s="37"/>
      <c r="I93" s="24"/>
      <c r="J93" s="24"/>
      <c r="K93" s="37"/>
      <c r="L93" s="48"/>
      <c r="M93" s="24"/>
      <c r="N93" s="24"/>
      <c r="O93" s="37"/>
      <c r="P93" s="37" t="e">
        <f t="shared" si="34"/>
        <v>#DIV/0!</v>
      </c>
      <c r="Q93" s="24"/>
      <c r="R93" s="24"/>
      <c r="S93" s="37"/>
      <c r="T93" s="24"/>
      <c r="U93" s="24"/>
      <c r="V93" s="37"/>
    </row>
    <row r="94" spans="1:22" ht="21" customHeight="1" x14ac:dyDescent="0.25">
      <c r="A94" s="22"/>
      <c r="B94" s="30" t="s">
        <v>105</v>
      </c>
      <c r="C94" s="24">
        <f>282.25347+6682.02899</f>
        <v>6964.2824599999994</v>
      </c>
      <c r="D94" s="147"/>
      <c r="E94" s="37">
        <f t="shared" ref="E94:E96" si="43">C94-D94</f>
        <v>6964.2824599999994</v>
      </c>
      <c r="F94" s="24">
        <f>7421.7+0</f>
        <v>7421.7</v>
      </c>
      <c r="G94" s="112"/>
      <c r="H94" s="37">
        <f t="shared" ref="H94:H96" si="44">F94-G94</f>
        <v>7421.7</v>
      </c>
      <c r="I94" s="24">
        <f>8784.1723</f>
        <v>8784.1723000000002</v>
      </c>
      <c r="J94" s="112"/>
      <c r="K94" s="37">
        <f t="shared" ref="K94:K96" si="45">I94-J94</f>
        <v>8784.1723000000002</v>
      </c>
      <c r="L94" s="48"/>
      <c r="M94" s="24">
        <f>8145.86951</f>
        <v>8145.8695100000004</v>
      </c>
      <c r="N94" s="112"/>
      <c r="O94" s="37">
        <f t="shared" ref="O94:O96" si="46">M94-N94</f>
        <v>8145.8695100000004</v>
      </c>
      <c r="P94" s="37">
        <f t="shared" si="34"/>
        <v>1.1696638608193386</v>
      </c>
      <c r="Q94" s="24">
        <f>9238.48377</f>
        <v>9238.4837700000007</v>
      </c>
      <c r="R94" s="112">
        <v>0</v>
      </c>
      <c r="S94" s="37">
        <f t="shared" ref="S94:S96" si="47">Q94-R94</f>
        <v>9238.4837700000007</v>
      </c>
      <c r="T94" s="24">
        <v>574.6</v>
      </c>
      <c r="U94" s="112"/>
      <c r="V94" s="37">
        <f t="shared" ref="V94:V96" si="48">T94-U94</f>
        <v>574.6</v>
      </c>
    </row>
    <row r="95" spans="1:22" ht="25.5" x14ac:dyDescent="0.25">
      <c r="A95" s="22"/>
      <c r="B95" s="30" t="s">
        <v>82</v>
      </c>
      <c r="C95" s="24">
        <f>9367.5252+4.15+91931.58243</f>
        <v>101303.25762999999</v>
      </c>
      <c r="D95" s="147">
        <f>45811.89027</f>
        <v>45811.890270000004</v>
      </c>
      <c r="E95" s="37">
        <f t="shared" si="43"/>
        <v>55491.367359999989</v>
      </c>
      <c r="F95" s="24">
        <f>5082.6+98690.07595</f>
        <v>103772.67595</v>
      </c>
      <c r="G95" s="112">
        <v>48840.275950000003</v>
      </c>
      <c r="H95" s="37">
        <f t="shared" si="44"/>
        <v>54932.4</v>
      </c>
      <c r="I95" s="24">
        <f>3256.6792+75550.3</f>
        <v>78806.979200000002</v>
      </c>
      <c r="J95" s="112">
        <f>55517.4</f>
        <v>55517.4</v>
      </c>
      <c r="K95" s="37">
        <f t="shared" si="45"/>
        <v>23289.5792</v>
      </c>
      <c r="L95" s="48">
        <f t="shared" ref="L95:L100" si="49">K95/E95</f>
        <v>0.41969733866727349</v>
      </c>
      <c r="M95" s="24">
        <f>3222.29589+75355.88</f>
        <v>78578.175889999999</v>
      </c>
      <c r="N95" s="112">
        <f>55517.3</f>
        <v>55517.3</v>
      </c>
      <c r="O95" s="37">
        <f t="shared" si="46"/>
        <v>23060.875889999996</v>
      </c>
      <c r="P95" s="37">
        <f t="shared" si="34"/>
        <v>0.41557591724840137</v>
      </c>
      <c r="Q95" s="24">
        <f>263586.89785</f>
        <v>263586.89785000001</v>
      </c>
      <c r="R95" s="112">
        <v>128939.3</v>
      </c>
      <c r="S95" s="37">
        <f t="shared" si="47"/>
        <v>134647.59785000002</v>
      </c>
      <c r="T95" s="24">
        <v>12</v>
      </c>
      <c r="U95" s="112"/>
      <c r="V95" s="37">
        <f t="shared" si="48"/>
        <v>12</v>
      </c>
    </row>
    <row r="96" spans="1:22" ht="25.5" x14ac:dyDescent="0.25">
      <c r="A96" s="22"/>
      <c r="B96" s="30" t="s">
        <v>83</v>
      </c>
      <c r="C96" s="24">
        <f>3895.418+27.5+161.0058+2574.5004</f>
        <v>6658.4241999999995</v>
      </c>
      <c r="D96" s="147">
        <f>482.56741</f>
        <v>482.56741</v>
      </c>
      <c r="E96" s="37">
        <f t="shared" si="43"/>
        <v>6175.8567899999998</v>
      </c>
      <c r="F96" s="24">
        <f>5196.8+7000</f>
        <v>12196.8</v>
      </c>
      <c r="G96" s="112"/>
      <c r="H96" s="37">
        <f t="shared" si="44"/>
        <v>12196.8</v>
      </c>
      <c r="I96" s="24">
        <f>3480.16146+6422.06</f>
        <v>9902.2214600000007</v>
      </c>
      <c r="J96" s="112"/>
      <c r="K96" s="37">
        <f t="shared" si="45"/>
        <v>9902.2214600000007</v>
      </c>
      <c r="L96" s="48">
        <f t="shared" si="49"/>
        <v>1.6033761462917602</v>
      </c>
      <c r="M96" s="24">
        <f>3480.16146+6422.06</f>
        <v>9902.2214600000007</v>
      </c>
      <c r="N96" s="112"/>
      <c r="O96" s="37">
        <f t="shared" si="46"/>
        <v>9902.2214600000007</v>
      </c>
      <c r="P96" s="37">
        <f t="shared" si="34"/>
        <v>1.6033761462917602</v>
      </c>
      <c r="Q96" s="24">
        <f>3430.15</f>
        <v>3430.15</v>
      </c>
      <c r="R96" s="112">
        <v>0</v>
      </c>
      <c r="S96" s="37">
        <f t="shared" si="47"/>
        <v>3430.15</v>
      </c>
      <c r="T96" s="24"/>
      <c r="U96" s="112"/>
      <c r="V96" s="37">
        <f t="shared" si="48"/>
        <v>0</v>
      </c>
    </row>
    <row r="97" spans="1:22" ht="25.5" x14ac:dyDescent="0.25">
      <c r="A97" s="22" t="s">
        <v>122</v>
      </c>
      <c r="B97" s="30" t="s">
        <v>123</v>
      </c>
      <c r="C97" s="24"/>
      <c r="D97" s="112"/>
      <c r="E97" s="37">
        <f t="shared" si="1"/>
        <v>0</v>
      </c>
      <c r="F97" s="24"/>
      <c r="G97" s="112"/>
      <c r="H97" s="37">
        <f t="shared" si="22"/>
        <v>0</v>
      </c>
      <c r="I97" s="24"/>
      <c r="J97" s="112"/>
      <c r="K97" s="37">
        <f t="shared" si="23"/>
        <v>0</v>
      </c>
      <c r="L97" s="48" t="e">
        <f t="shared" si="49"/>
        <v>#DIV/0!</v>
      </c>
      <c r="M97" s="24"/>
      <c r="N97" s="112"/>
      <c r="O97" s="37">
        <f t="shared" si="24"/>
        <v>0</v>
      </c>
      <c r="P97" s="37" t="e">
        <f t="shared" si="34"/>
        <v>#DIV/0!</v>
      </c>
      <c r="Q97" s="24"/>
      <c r="R97" s="112"/>
      <c r="S97" s="37">
        <f t="shared" si="25"/>
        <v>0</v>
      </c>
      <c r="T97" s="24"/>
      <c r="U97" s="112"/>
      <c r="V97" s="37">
        <f t="shared" si="26"/>
        <v>0</v>
      </c>
    </row>
    <row r="98" spans="1:22" ht="25.5" x14ac:dyDescent="0.25">
      <c r="A98" s="22" t="s">
        <v>124</v>
      </c>
      <c r="B98" s="30" t="s">
        <v>125</v>
      </c>
      <c r="C98" s="24"/>
      <c r="D98" s="112"/>
      <c r="E98" s="37">
        <f t="shared" si="1"/>
        <v>0</v>
      </c>
      <c r="F98" s="24"/>
      <c r="G98" s="112"/>
      <c r="H98" s="37">
        <f t="shared" si="22"/>
        <v>0</v>
      </c>
      <c r="I98" s="24"/>
      <c r="J98" s="112"/>
      <c r="K98" s="37">
        <f t="shared" si="23"/>
        <v>0</v>
      </c>
      <c r="L98" s="48" t="e">
        <f t="shared" si="49"/>
        <v>#DIV/0!</v>
      </c>
      <c r="M98" s="24"/>
      <c r="N98" s="112"/>
      <c r="O98" s="37">
        <f t="shared" si="24"/>
        <v>0</v>
      </c>
      <c r="P98" s="37" t="e">
        <f t="shared" si="34"/>
        <v>#DIV/0!</v>
      </c>
      <c r="Q98" s="24"/>
      <c r="R98" s="112"/>
      <c r="S98" s="37">
        <f t="shared" si="25"/>
        <v>0</v>
      </c>
      <c r="T98" s="24"/>
      <c r="U98" s="112"/>
      <c r="V98" s="37">
        <f t="shared" si="26"/>
        <v>0</v>
      </c>
    </row>
    <row r="99" spans="1:22" x14ac:dyDescent="0.25">
      <c r="A99" s="22" t="s">
        <v>126</v>
      </c>
      <c r="B99" s="30" t="s">
        <v>89</v>
      </c>
      <c r="C99" s="24"/>
      <c r="D99" s="112"/>
      <c r="E99" s="37">
        <f t="shared" si="1"/>
        <v>0</v>
      </c>
      <c r="F99" s="24"/>
      <c r="G99" s="112"/>
      <c r="H99" s="37">
        <f t="shared" si="22"/>
        <v>0</v>
      </c>
      <c r="I99" s="24"/>
      <c r="J99" s="112"/>
      <c r="K99" s="37">
        <f t="shared" si="23"/>
        <v>0</v>
      </c>
      <c r="L99" s="48" t="e">
        <f t="shared" si="49"/>
        <v>#DIV/0!</v>
      </c>
      <c r="M99" s="24"/>
      <c r="N99" s="112"/>
      <c r="O99" s="37">
        <f t="shared" si="24"/>
        <v>0</v>
      </c>
      <c r="P99" s="37" t="e">
        <f t="shared" si="34"/>
        <v>#DIV/0!</v>
      </c>
      <c r="Q99" s="24"/>
      <c r="R99" s="112"/>
      <c r="S99" s="37">
        <f t="shared" si="25"/>
        <v>0</v>
      </c>
      <c r="T99" s="24"/>
      <c r="U99" s="112"/>
      <c r="V99" s="37">
        <f t="shared" si="26"/>
        <v>0</v>
      </c>
    </row>
    <row r="100" spans="1:22" x14ac:dyDescent="0.25">
      <c r="A100" s="22" t="s">
        <v>127</v>
      </c>
      <c r="B100" s="30" t="s">
        <v>128</v>
      </c>
      <c r="C100" s="24">
        <f>C102+C103+C104</f>
        <v>380.44947000000002</v>
      </c>
      <c r="D100" s="114"/>
      <c r="E100" s="37">
        <f t="shared" si="1"/>
        <v>380.44947000000002</v>
      </c>
      <c r="F100" s="24">
        <f>F102+F103+F104</f>
        <v>578.29999999999995</v>
      </c>
      <c r="G100" s="114">
        <f>-G102+G103+G104</f>
        <v>0</v>
      </c>
      <c r="H100" s="37">
        <f t="shared" si="22"/>
        <v>578.29999999999995</v>
      </c>
      <c r="I100" s="24">
        <f>I102+I103+I104</f>
        <v>397.34449999999998</v>
      </c>
      <c r="J100" s="114"/>
      <c r="K100" s="37">
        <f t="shared" si="23"/>
        <v>397.34449999999998</v>
      </c>
      <c r="L100" s="48">
        <f t="shared" si="49"/>
        <v>1.0444080786865073</v>
      </c>
      <c r="M100" s="24">
        <f>M102+M103+M104</f>
        <v>396.84359999999998</v>
      </c>
      <c r="N100" s="114"/>
      <c r="O100" s="37">
        <f t="shared" si="24"/>
        <v>396.84359999999998</v>
      </c>
      <c r="P100" s="37">
        <f t="shared" si="34"/>
        <v>1.0430914780877469</v>
      </c>
      <c r="Q100" s="24">
        <f>Q102+Q103+Q104</f>
        <v>578.29999999999995</v>
      </c>
      <c r="R100" s="114">
        <f>R102+R103+R104</f>
        <v>0</v>
      </c>
      <c r="S100" s="37">
        <f t="shared" si="25"/>
        <v>578.29999999999995</v>
      </c>
      <c r="T100" s="24">
        <f>T102+T103+T104</f>
        <v>0</v>
      </c>
      <c r="U100" s="24">
        <f>U102+U103+U104</f>
        <v>0</v>
      </c>
      <c r="V100" s="37">
        <f t="shared" si="26"/>
        <v>0</v>
      </c>
    </row>
    <row r="101" spans="1:22" x14ac:dyDescent="0.25">
      <c r="A101" s="22"/>
      <c r="B101" s="30" t="s">
        <v>16</v>
      </c>
      <c r="C101" s="24"/>
      <c r="D101" s="114"/>
      <c r="E101" s="37"/>
      <c r="F101" s="24"/>
      <c r="G101" s="114"/>
      <c r="H101" s="37"/>
      <c r="I101" s="24"/>
      <c r="J101" s="114"/>
      <c r="K101" s="37"/>
      <c r="L101" s="48"/>
      <c r="M101" s="24"/>
      <c r="N101" s="114"/>
      <c r="O101" s="37"/>
      <c r="P101" s="37" t="e">
        <f t="shared" si="34"/>
        <v>#DIV/0!</v>
      </c>
      <c r="Q101" s="24"/>
      <c r="R101" s="114"/>
      <c r="S101" s="37"/>
      <c r="T101" s="24"/>
      <c r="U101" s="114"/>
      <c r="V101" s="37"/>
    </row>
    <row r="102" spans="1:22" ht="71.25" customHeight="1" x14ac:dyDescent="0.25">
      <c r="A102" s="22"/>
      <c r="B102" s="30" t="s">
        <v>129</v>
      </c>
      <c r="C102" s="24"/>
      <c r="D102" s="114"/>
      <c r="E102" s="37">
        <f t="shared" ref="E102:E105" si="50">C102-D102</f>
        <v>0</v>
      </c>
      <c r="F102" s="24"/>
      <c r="G102" s="114"/>
      <c r="H102" s="37">
        <f t="shared" ref="H102:H104" si="51">F102-G102</f>
        <v>0</v>
      </c>
      <c r="I102" s="24"/>
      <c r="J102" s="114"/>
      <c r="K102" s="37">
        <f t="shared" ref="K102:K104" si="52">I102-J102</f>
        <v>0</v>
      </c>
      <c r="L102" s="48" t="e">
        <f>K102/E102</f>
        <v>#DIV/0!</v>
      </c>
      <c r="M102" s="24"/>
      <c r="N102" s="114"/>
      <c r="O102" s="37">
        <f t="shared" ref="O102:O104" si="53">M102-N102</f>
        <v>0</v>
      </c>
      <c r="P102" s="37" t="e">
        <f t="shared" ref="P102:P107" si="54">O102/E102</f>
        <v>#DIV/0!</v>
      </c>
      <c r="Q102" s="24"/>
      <c r="R102" s="114"/>
      <c r="S102" s="37">
        <f t="shared" ref="S102:S104" si="55">Q102-R102</f>
        <v>0</v>
      </c>
      <c r="T102" s="24"/>
      <c r="U102" s="114"/>
      <c r="V102" s="37">
        <f t="shared" ref="V102:V104" si="56">T102-U102</f>
        <v>0</v>
      </c>
    </row>
    <row r="103" spans="1:22" ht="25.5" x14ac:dyDescent="0.25">
      <c r="A103" s="22"/>
      <c r="B103" s="30" t="s">
        <v>130</v>
      </c>
      <c r="C103" s="24"/>
      <c r="D103" s="114"/>
      <c r="E103" s="37">
        <f t="shared" si="50"/>
        <v>0</v>
      </c>
      <c r="F103" s="24"/>
      <c r="G103" s="114"/>
      <c r="H103" s="37">
        <f t="shared" si="51"/>
        <v>0</v>
      </c>
      <c r="I103" s="24">
        <v>20.492000000000001</v>
      </c>
      <c r="J103" s="114"/>
      <c r="K103" s="37">
        <f t="shared" si="52"/>
        <v>20.492000000000001</v>
      </c>
      <c r="L103" s="48" t="e">
        <f>K103/E103</f>
        <v>#DIV/0!</v>
      </c>
      <c r="M103" s="24">
        <f>20.492</f>
        <v>20.492000000000001</v>
      </c>
      <c r="N103" s="114"/>
      <c r="O103" s="37">
        <f t="shared" si="53"/>
        <v>20.492000000000001</v>
      </c>
      <c r="P103" s="37" t="e">
        <f t="shared" si="54"/>
        <v>#DIV/0!</v>
      </c>
      <c r="Q103" s="24"/>
      <c r="R103" s="114"/>
      <c r="S103" s="37">
        <f t="shared" si="55"/>
        <v>0</v>
      </c>
      <c r="T103" s="24"/>
      <c r="U103" s="114"/>
      <c r="V103" s="37">
        <f t="shared" si="56"/>
        <v>0</v>
      </c>
    </row>
    <row r="104" spans="1:22" ht="25.5" x14ac:dyDescent="0.25">
      <c r="A104" s="22"/>
      <c r="B104" s="30" t="s">
        <v>131</v>
      </c>
      <c r="C104" s="24">
        <f>3.651+376.70404+0.09443</f>
        <v>380.44947000000002</v>
      </c>
      <c r="D104" s="114"/>
      <c r="E104" s="37">
        <f t="shared" si="50"/>
        <v>380.44947000000002</v>
      </c>
      <c r="F104" s="24">
        <v>578.29999999999995</v>
      </c>
      <c r="G104" s="114">
        <v>0</v>
      </c>
      <c r="H104" s="37">
        <f t="shared" si="51"/>
        <v>578.29999999999995</v>
      </c>
      <c r="I104" s="24">
        <f>158.996+0.0186+4.5169+213.321</f>
        <v>376.85249999999996</v>
      </c>
      <c r="J104" s="114"/>
      <c r="K104" s="37">
        <f t="shared" si="52"/>
        <v>376.85249999999996</v>
      </c>
      <c r="L104" s="48">
        <f>K104/E104</f>
        <v>0.99054547243816626</v>
      </c>
      <c r="M104" s="24">
        <f>158.996+0.0186+4.516+212.821</f>
        <v>376.35159999999996</v>
      </c>
      <c r="N104" s="114"/>
      <c r="O104" s="37">
        <f t="shared" si="53"/>
        <v>376.35159999999996</v>
      </c>
      <c r="P104" s="37">
        <f t="shared" si="54"/>
        <v>0.989228871839406</v>
      </c>
      <c r="Q104" s="24">
        <v>578.29999999999995</v>
      </c>
      <c r="R104" s="114"/>
      <c r="S104" s="37">
        <f t="shared" si="55"/>
        <v>578.29999999999995</v>
      </c>
      <c r="T104" s="24"/>
      <c r="U104" s="114"/>
      <c r="V104" s="37">
        <f t="shared" si="56"/>
        <v>0</v>
      </c>
    </row>
    <row r="105" spans="1:22" x14ac:dyDescent="0.25">
      <c r="A105" s="63"/>
      <c r="B105" s="10" t="s">
        <v>132</v>
      </c>
      <c r="C105" s="64">
        <f>C52</f>
        <v>3747292.3447799999</v>
      </c>
      <c r="D105" s="64">
        <f t="shared" ref="D105" si="57">D52</f>
        <v>2187765.0036299997</v>
      </c>
      <c r="E105" s="11">
        <f t="shared" si="50"/>
        <v>1559527.3411500002</v>
      </c>
      <c r="F105" s="64">
        <f>F52</f>
        <v>4109661.7451999998</v>
      </c>
      <c r="G105" s="64">
        <f t="shared" ref="G105" si="58">G52</f>
        <v>2473144.59968</v>
      </c>
      <c r="H105" s="11">
        <f t="shared" si="22"/>
        <v>1636517.1455199998</v>
      </c>
      <c r="I105" s="64">
        <f>I52</f>
        <v>4146774.41322</v>
      </c>
      <c r="J105" s="64">
        <f t="shared" ref="J105" si="59">J52</f>
        <v>2417031.4391999999</v>
      </c>
      <c r="K105" s="11">
        <f t="shared" si="23"/>
        <v>1729742.9740200001</v>
      </c>
      <c r="L105" s="12">
        <f>K105/E105</f>
        <v>1.109145654826726</v>
      </c>
      <c r="M105" s="64">
        <f>M52</f>
        <v>3908516.3406400001</v>
      </c>
      <c r="N105" s="64">
        <f t="shared" ref="N105" si="60">N52</f>
        <v>2243567.9675399996</v>
      </c>
      <c r="O105" s="11">
        <f t="shared" si="24"/>
        <v>1664948.3731000004</v>
      </c>
      <c r="P105" s="11">
        <f t="shared" si="54"/>
        <v>1.0675980658808215</v>
      </c>
      <c r="Q105" s="64">
        <f>Q52</f>
        <v>5298167.4986199997</v>
      </c>
      <c r="R105" s="64">
        <f t="shared" ref="R105" si="61">R52</f>
        <v>2853299.1055099997</v>
      </c>
      <c r="S105" s="11">
        <f t="shared" si="25"/>
        <v>2444868.3931100001</v>
      </c>
      <c r="T105" s="64">
        <f>T52</f>
        <v>124542</v>
      </c>
      <c r="U105" s="64">
        <f t="shared" ref="U105" si="62">U52</f>
        <v>52372</v>
      </c>
      <c r="V105" s="11">
        <f t="shared" si="26"/>
        <v>72170</v>
      </c>
    </row>
    <row r="106" spans="1:22" x14ac:dyDescent="0.25">
      <c r="A106" s="38"/>
      <c r="B106" s="65" t="s">
        <v>133</v>
      </c>
      <c r="C106" s="66">
        <f t="shared" ref="C106:E106" si="63">C51-C52</f>
        <v>92991.537650000304</v>
      </c>
      <c r="D106" s="66">
        <f t="shared" si="63"/>
        <v>120776.68488000007</v>
      </c>
      <c r="E106" s="66">
        <f t="shared" si="63"/>
        <v>-27785.147229999769</v>
      </c>
      <c r="F106" s="66">
        <f>F51-F52</f>
        <v>-115200.01751999976</v>
      </c>
      <c r="G106" s="66">
        <f>G51-G52</f>
        <v>0</v>
      </c>
      <c r="H106" s="66">
        <f>H51-H52</f>
        <v>-115200.01751999976</v>
      </c>
      <c r="I106" s="66">
        <f>I51-I52</f>
        <v>-3241.7389050000347</v>
      </c>
      <c r="J106" s="66">
        <f t="shared" ref="J106:K106" si="64">J51-J52</f>
        <v>71270.143420000095</v>
      </c>
      <c r="K106" s="66">
        <f t="shared" si="64"/>
        <v>-74511.88232500013</v>
      </c>
      <c r="L106" s="66"/>
      <c r="M106" s="66">
        <f t="shared" ref="M106:U106" si="65">M51-M52</f>
        <v>58981.641320999712</v>
      </c>
      <c r="N106" s="66">
        <f t="shared" si="65"/>
        <v>-56002.13314999966</v>
      </c>
      <c r="O106" s="66">
        <f>M106-N106</f>
        <v>114983.77447099937</v>
      </c>
      <c r="P106" s="66">
        <f t="shared" si="54"/>
        <v>-4.1383179840361182</v>
      </c>
      <c r="Q106" s="66">
        <f t="shared" si="65"/>
        <v>-134739.8053799998</v>
      </c>
      <c r="R106" s="66">
        <f t="shared" si="65"/>
        <v>0</v>
      </c>
      <c r="S106" s="66">
        <f>Q106-R106</f>
        <v>-134739.8053799998</v>
      </c>
      <c r="T106" s="66">
        <f t="shared" si="65"/>
        <v>-26934.949999999997</v>
      </c>
      <c r="U106" s="66">
        <f t="shared" si="65"/>
        <v>0</v>
      </c>
      <c r="V106" s="66">
        <f>T106-U106</f>
        <v>-26934.949999999997</v>
      </c>
    </row>
    <row r="107" spans="1:22" s="99" customFormat="1" ht="22.5" x14ac:dyDescent="0.25">
      <c r="A107" s="104"/>
      <c r="B107" s="105" t="s">
        <v>134</v>
      </c>
      <c r="C107" s="67">
        <v>92991.537649999998</v>
      </c>
      <c r="D107" s="67">
        <v>120776.68488</v>
      </c>
      <c r="E107" s="67"/>
      <c r="F107" s="68"/>
      <c r="G107" s="68"/>
      <c r="H107" s="68"/>
      <c r="I107" s="69">
        <v>-197733.49303000001</v>
      </c>
      <c r="J107" s="115">
        <v>71270.143419999993</v>
      </c>
      <c r="K107" s="69">
        <f>I107-J107</f>
        <v>-269003.63644999999</v>
      </c>
      <c r="L107" s="70"/>
      <c r="M107" s="67">
        <v>58981.775670000003</v>
      </c>
      <c r="N107" s="67">
        <v>-19365.34116</v>
      </c>
      <c r="O107" s="67">
        <f>M107-N107</f>
        <v>78347.116829999999</v>
      </c>
      <c r="P107" s="67" t="e">
        <f t="shared" si="54"/>
        <v>#DIV/0!</v>
      </c>
      <c r="Q107" s="67"/>
      <c r="R107" s="67"/>
      <c r="S107" s="67"/>
      <c r="T107" s="67"/>
      <c r="U107" s="67"/>
      <c r="V107" s="67"/>
    </row>
    <row r="108" spans="1:22" ht="26.25" x14ac:dyDescent="0.25">
      <c r="A108" s="13" t="s">
        <v>135</v>
      </c>
      <c r="B108" s="71" t="s">
        <v>136</v>
      </c>
      <c r="C108" s="47">
        <f>C110+C111+C116+C119</f>
        <v>-92991.537650000304</v>
      </c>
      <c r="D108" s="47" t="s">
        <v>137</v>
      </c>
      <c r="E108" s="66" t="s">
        <v>137</v>
      </c>
      <c r="F108" s="116">
        <f>F110+F111+F116+F119</f>
        <v>115200.01751999976</v>
      </c>
      <c r="G108" s="47" t="s">
        <v>137</v>
      </c>
      <c r="H108" s="47" t="s">
        <v>137</v>
      </c>
      <c r="I108" s="116">
        <f>I110+I111+I116+I119</f>
        <v>3241.7389050000347</v>
      </c>
      <c r="J108" s="47" t="s">
        <v>137</v>
      </c>
      <c r="K108" s="47" t="s">
        <v>137</v>
      </c>
      <c r="L108" s="17"/>
      <c r="M108" s="47">
        <f>M110+M111+M116+M119</f>
        <v>-58981.641320999712</v>
      </c>
      <c r="N108" s="47" t="s">
        <v>137</v>
      </c>
      <c r="O108" s="47" t="s">
        <v>137</v>
      </c>
      <c r="P108" s="47"/>
      <c r="Q108" s="47">
        <f>Q110+Q111+Q116+Q119</f>
        <v>134739.8053799998</v>
      </c>
      <c r="R108" s="117" t="s">
        <v>137</v>
      </c>
      <c r="S108" s="117" t="s">
        <v>137</v>
      </c>
      <c r="T108" s="47">
        <f>T110+T111+T116+T119</f>
        <v>26934.949999999997</v>
      </c>
      <c r="U108" s="47" t="s">
        <v>137</v>
      </c>
      <c r="V108" s="47" t="s">
        <v>137</v>
      </c>
    </row>
    <row r="109" spans="1:22" x14ac:dyDescent="0.25">
      <c r="A109" s="13"/>
      <c r="B109" s="23" t="s">
        <v>16</v>
      </c>
      <c r="C109" s="47"/>
      <c r="D109" s="47"/>
      <c r="E109" s="66"/>
      <c r="F109" s="110"/>
      <c r="G109" s="47"/>
      <c r="H109" s="47"/>
      <c r="I109" s="110"/>
      <c r="J109" s="47"/>
      <c r="K109" s="47"/>
      <c r="L109" s="17"/>
      <c r="M109" s="110"/>
      <c r="N109" s="47"/>
      <c r="O109" s="47"/>
      <c r="P109" s="47"/>
      <c r="Q109" s="110"/>
      <c r="R109" s="110"/>
      <c r="S109" s="110"/>
      <c r="T109" s="110"/>
      <c r="U109" s="47"/>
      <c r="V109" s="47"/>
    </row>
    <row r="110" spans="1:22" x14ac:dyDescent="0.25">
      <c r="A110" s="13" t="s">
        <v>138</v>
      </c>
      <c r="B110" s="71" t="s">
        <v>139</v>
      </c>
      <c r="C110" s="47">
        <f>C105-C51-C116-C111-C119</f>
        <v>247671.6720499997</v>
      </c>
      <c r="D110" s="47" t="s">
        <v>137</v>
      </c>
      <c r="E110" s="66" t="s">
        <v>137</v>
      </c>
      <c r="F110" s="116">
        <f>F105-F51-F116-F111-F119</f>
        <v>-2.3283064365386963E-10</v>
      </c>
      <c r="G110" s="116" t="s">
        <v>137</v>
      </c>
      <c r="H110" s="116" t="s">
        <v>137</v>
      </c>
      <c r="I110" s="116">
        <f>I105-I51-I116-I111-I119</f>
        <v>-34908.278614999967</v>
      </c>
      <c r="J110" s="47" t="s">
        <v>137</v>
      </c>
      <c r="K110" s="47" t="s">
        <v>137</v>
      </c>
      <c r="L110" s="17"/>
      <c r="M110" s="47">
        <f>M105-M51-M116-M111-M119</f>
        <v>-266914.84248099971</v>
      </c>
      <c r="N110" s="47" t="s">
        <v>137</v>
      </c>
      <c r="O110" s="47" t="s">
        <v>137</v>
      </c>
      <c r="P110" s="47"/>
      <c r="Q110" s="47">
        <f>Q105-Q51-Q116-Q111-Q119</f>
        <v>36081.821379999805</v>
      </c>
      <c r="R110" s="47" t="s">
        <v>137</v>
      </c>
      <c r="S110" s="47" t="s">
        <v>137</v>
      </c>
      <c r="T110" s="47">
        <f>T105-T51-T116-T111-T119</f>
        <v>37724.949999999997</v>
      </c>
      <c r="U110" s="47" t="s">
        <v>137</v>
      </c>
      <c r="V110" s="47" t="s">
        <v>137</v>
      </c>
    </row>
    <row r="111" spans="1:22" ht="26.25" x14ac:dyDescent="0.25">
      <c r="A111" s="13" t="s">
        <v>140</v>
      </c>
      <c r="B111" s="71" t="s">
        <v>141</v>
      </c>
      <c r="C111" s="47">
        <f>C112+C113+C114+C115</f>
        <v>-10790</v>
      </c>
      <c r="D111" s="47" t="s">
        <v>137</v>
      </c>
      <c r="E111" s="66" t="s">
        <v>137</v>
      </c>
      <c r="F111" s="47">
        <f>F112+F113+F114+F115</f>
        <v>-10790</v>
      </c>
      <c r="G111" s="47" t="s">
        <v>137</v>
      </c>
      <c r="H111" s="47" t="s">
        <v>137</v>
      </c>
      <c r="I111" s="47">
        <f>I112+I113+I114+I115</f>
        <v>-10790</v>
      </c>
      <c r="J111" s="47" t="s">
        <v>137</v>
      </c>
      <c r="K111" s="47" t="s">
        <v>137</v>
      </c>
      <c r="L111" s="17"/>
      <c r="M111" s="47">
        <f>M112+M113+M114+M115</f>
        <v>-10790</v>
      </c>
      <c r="N111" s="47" t="s">
        <v>137</v>
      </c>
      <c r="O111" s="47" t="s">
        <v>137</v>
      </c>
      <c r="P111" s="47"/>
      <c r="Q111" s="47">
        <f>Q112+Q113+Q114+Q115</f>
        <v>-10790</v>
      </c>
      <c r="R111" s="47" t="s">
        <v>137</v>
      </c>
      <c r="S111" s="47" t="s">
        <v>137</v>
      </c>
      <c r="T111" s="47">
        <f>T112+T113+T114+T115</f>
        <v>-10790</v>
      </c>
      <c r="U111" s="47" t="s">
        <v>137</v>
      </c>
      <c r="V111" s="47" t="s">
        <v>137</v>
      </c>
    </row>
    <row r="112" spans="1:22" x14ac:dyDescent="0.25">
      <c r="A112" s="13"/>
      <c r="B112" s="23" t="s">
        <v>142</v>
      </c>
      <c r="C112" s="112">
        <v>0</v>
      </c>
      <c r="D112" s="47" t="s">
        <v>137</v>
      </c>
      <c r="E112" s="66" t="s">
        <v>137</v>
      </c>
      <c r="F112" s="112"/>
      <c r="G112" s="47" t="s">
        <v>137</v>
      </c>
      <c r="H112" s="47" t="s">
        <v>137</v>
      </c>
      <c r="I112" s="112"/>
      <c r="J112" s="47" t="s">
        <v>137</v>
      </c>
      <c r="K112" s="47" t="s">
        <v>137</v>
      </c>
      <c r="L112" s="17"/>
      <c r="M112" s="112"/>
      <c r="N112" s="47" t="s">
        <v>137</v>
      </c>
      <c r="O112" s="47" t="s">
        <v>137</v>
      </c>
      <c r="P112" s="47"/>
      <c r="Q112" s="112"/>
      <c r="R112" s="47" t="s">
        <v>137</v>
      </c>
      <c r="S112" s="47" t="s">
        <v>137</v>
      </c>
      <c r="T112" s="112"/>
      <c r="U112" s="47" t="s">
        <v>137</v>
      </c>
      <c r="V112" s="47" t="s">
        <v>137</v>
      </c>
    </row>
    <row r="113" spans="1:22" ht="26.25" x14ac:dyDescent="0.25">
      <c r="A113" s="13"/>
      <c r="B113" s="23" t="s">
        <v>143</v>
      </c>
      <c r="C113" s="112">
        <v>0</v>
      </c>
      <c r="D113" s="47" t="s">
        <v>137</v>
      </c>
      <c r="E113" s="66" t="s">
        <v>137</v>
      </c>
      <c r="F113" s="112"/>
      <c r="G113" s="47" t="s">
        <v>137</v>
      </c>
      <c r="H113" s="47" t="s">
        <v>137</v>
      </c>
      <c r="I113" s="112"/>
      <c r="J113" s="47" t="s">
        <v>137</v>
      </c>
      <c r="K113" s="47" t="s">
        <v>137</v>
      </c>
      <c r="L113" s="17"/>
      <c r="M113" s="112"/>
      <c r="N113" s="47" t="s">
        <v>137</v>
      </c>
      <c r="O113" s="47" t="s">
        <v>137</v>
      </c>
      <c r="P113" s="47"/>
      <c r="Q113" s="112"/>
      <c r="R113" s="47" t="s">
        <v>137</v>
      </c>
      <c r="S113" s="47" t="s">
        <v>137</v>
      </c>
      <c r="T113" s="112"/>
      <c r="U113" s="47" t="s">
        <v>137</v>
      </c>
      <c r="V113" s="47" t="s">
        <v>137</v>
      </c>
    </row>
    <row r="114" spans="1:22" x14ac:dyDescent="0.25">
      <c r="A114" s="13"/>
      <c r="B114" s="23" t="s">
        <v>144</v>
      </c>
      <c r="C114" s="112">
        <v>-10790</v>
      </c>
      <c r="D114" s="47" t="s">
        <v>137</v>
      </c>
      <c r="E114" s="66" t="s">
        <v>137</v>
      </c>
      <c r="F114" s="112">
        <v>-10790</v>
      </c>
      <c r="G114" s="47" t="s">
        <v>137</v>
      </c>
      <c r="H114" s="47" t="s">
        <v>137</v>
      </c>
      <c r="I114" s="112">
        <v>-10790</v>
      </c>
      <c r="J114" s="47" t="s">
        <v>137</v>
      </c>
      <c r="K114" s="47" t="s">
        <v>137</v>
      </c>
      <c r="L114" s="17"/>
      <c r="M114" s="112">
        <v>-10790</v>
      </c>
      <c r="N114" s="47" t="s">
        <v>137</v>
      </c>
      <c r="O114" s="47" t="s">
        <v>137</v>
      </c>
      <c r="P114" s="47"/>
      <c r="Q114" s="112">
        <v>-10790</v>
      </c>
      <c r="R114" s="47" t="s">
        <v>137</v>
      </c>
      <c r="S114" s="47" t="s">
        <v>137</v>
      </c>
      <c r="T114" s="112">
        <v>-10790</v>
      </c>
      <c r="U114" s="47" t="s">
        <v>137</v>
      </c>
      <c r="V114" s="47" t="s">
        <v>137</v>
      </c>
    </row>
    <row r="115" spans="1:22" ht="26.25" x14ac:dyDescent="0.25">
      <c r="A115" s="13"/>
      <c r="B115" s="23" t="s">
        <v>145</v>
      </c>
      <c r="C115" s="112"/>
      <c r="D115" s="47" t="s">
        <v>137</v>
      </c>
      <c r="E115" s="66" t="s">
        <v>137</v>
      </c>
      <c r="F115" s="112">
        <f>C115</f>
        <v>0</v>
      </c>
      <c r="G115" s="47" t="s">
        <v>137</v>
      </c>
      <c r="H115" s="47" t="s">
        <v>137</v>
      </c>
      <c r="I115" s="112"/>
      <c r="J115" s="47" t="s">
        <v>137</v>
      </c>
      <c r="K115" s="47" t="s">
        <v>137</v>
      </c>
      <c r="L115" s="17"/>
      <c r="M115" s="112"/>
      <c r="N115" s="47" t="s">
        <v>137</v>
      </c>
      <c r="O115" s="47" t="s">
        <v>137</v>
      </c>
      <c r="P115" s="47"/>
      <c r="Q115" s="112"/>
      <c r="R115" s="47" t="s">
        <v>137</v>
      </c>
      <c r="S115" s="47" t="s">
        <v>137</v>
      </c>
      <c r="T115" s="112"/>
      <c r="U115" s="47" t="s">
        <v>137</v>
      </c>
      <c r="V115" s="47" t="s">
        <v>137</v>
      </c>
    </row>
    <row r="116" spans="1:22" x14ac:dyDescent="0.25">
      <c r="A116" s="13" t="s">
        <v>146</v>
      </c>
      <c r="B116" s="71" t="s">
        <v>147</v>
      </c>
      <c r="C116" s="47">
        <f>C117+C118</f>
        <v>0</v>
      </c>
      <c r="D116" s="47" t="s">
        <v>137</v>
      </c>
      <c r="E116" s="66" t="s">
        <v>137</v>
      </c>
      <c r="F116" s="47">
        <f t="shared" ref="F116" si="66">F117+F118</f>
        <v>125990.01751999999</v>
      </c>
      <c r="G116" s="47" t="s">
        <v>137</v>
      </c>
      <c r="H116" s="47" t="s">
        <v>137</v>
      </c>
      <c r="I116" s="47">
        <f t="shared" ref="I116" si="67">I117+I118</f>
        <v>48940.017520000001</v>
      </c>
      <c r="J116" s="47" t="s">
        <v>137</v>
      </c>
      <c r="K116" s="47" t="s">
        <v>137</v>
      </c>
      <c r="L116" s="17"/>
      <c r="M116" s="47">
        <f t="shared" ref="M116" si="68">M117+M118</f>
        <v>0</v>
      </c>
      <c r="N116" s="47" t="s">
        <v>137</v>
      </c>
      <c r="O116" s="47" t="s">
        <v>137</v>
      </c>
      <c r="P116" s="47"/>
      <c r="Q116" s="47">
        <f t="shared" ref="Q116" si="69">Q117+Q118</f>
        <v>109447.984</v>
      </c>
      <c r="R116" s="47" t="s">
        <v>137</v>
      </c>
      <c r="S116" s="47" t="s">
        <v>137</v>
      </c>
      <c r="T116" s="47">
        <f t="shared" ref="T116" si="70">T117+T118</f>
        <v>0</v>
      </c>
      <c r="U116" s="47" t="s">
        <v>137</v>
      </c>
      <c r="V116" s="47" t="s">
        <v>137</v>
      </c>
    </row>
    <row r="117" spans="1:22" x14ac:dyDescent="0.25">
      <c r="A117" s="22"/>
      <c r="B117" s="23" t="s">
        <v>148</v>
      </c>
      <c r="C117" s="112"/>
      <c r="D117" s="47" t="s">
        <v>137</v>
      </c>
      <c r="E117" s="66" t="s">
        <v>137</v>
      </c>
      <c r="F117" s="112">
        <v>125990.01751999999</v>
      </c>
      <c r="G117" s="47" t="s">
        <v>137</v>
      </c>
      <c r="H117" s="47" t="s">
        <v>137</v>
      </c>
      <c r="I117" s="112">
        <v>48940.017520000001</v>
      </c>
      <c r="J117" s="47" t="s">
        <v>137</v>
      </c>
      <c r="K117" s="47" t="s">
        <v>137</v>
      </c>
      <c r="L117" s="17"/>
      <c r="M117" s="112">
        <v>0</v>
      </c>
      <c r="N117" s="47" t="s">
        <v>137</v>
      </c>
      <c r="O117" s="47" t="s">
        <v>137</v>
      </c>
      <c r="P117" s="47"/>
      <c r="Q117" s="112">
        <v>109447.984</v>
      </c>
      <c r="R117" s="47" t="s">
        <v>137</v>
      </c>
      <c r="S117" s="47" t="s">
        <v>137</v>
      </c>
      <c r="T117" s="112">
        <v>0</v>
      </c>
      <c r="U117" s="47" t="s">
        <v>137</v>
      </c>
      <c r="V117" s="47" t="s">
        <v>137</v>
      </c>
    </row>
    <row r="118" spans="1:22" x14ac:dyDescent="0.25">
      <c r="A118" s="13"/>
      <c r="B118" s="23" t="s">
        <v>144</v>
      </c>
      <c r="C118" s="116"/>
      <c r="D118" s="47" t="s">
        <v>137</v>
      </c>
      <c r="E118" s="66" t="s">
        <v>137</v>
      </c>
      <c r="F118" s="116"/>
      <c r="G118" s="47" t="s">
        <v>137</v>
      </c>
      <c r="H118" s="47" t="s">
        <v>137</v>
      </c>
      <c r="I118" s="116"/>
      <c r="J118" s="47" t="s">
        <v>137</v>
      </c>
      <c r="K118" s="47" t="s">
        <v>137</v>
      </c>
      <c r="L118" s="17"/>
      <c r="M118" s="116"/>
      <c r="N118" s="47" t="s">
        <v>137</v>
      </c>
      <c r="O118" s="47" t="s">
        <v>137</v>
      </c>
      <c r="P118" s="47"/>
      <c r="Q118" s="116"/>
      <c r="R118" s="47" t="s">
        <v>137</v>
      </c>
      <c r="S118" s="47" t="s">
        <v>137</v>
      </c>
      <c r="T118" s="116"/>
      <c r="U118" s="47" t="s">
        <v>137</v>
      </c>
      <c r="V118" s="47" t="s">
        <v>137</v>
      </c>
    </row>
    <row r="119" spans="1:22" ht="26.25" x14ac:dyDescent="0.25">
      <c r="A119" s="13" t="s">
        <v>149</v>
      </c>
      <c r="B119" s="71" t="s">
        <v>150</v>
      </c>
      <c r="C119" s="116">
        <f>C121</f>
        <v>-329873.20970000001</v>
      </c>
      <c r="D119" s="47" t="s">
        <v>137</v>
      </c>
      <c r="E119" s="66" t="s">
        <v>137</v>
      </c>
      <c r="F119" s="116"/>
      <c r="G119" s="47" t="s">
        <v>137</v>
      </c>
      <c r="H119" s="47" t="s">
        <v>137</v>
      </c>
      <c r="I119" s="116"/>
      <c r="J119" s="47" t="s">
        <v>137</v>
      </c>
      <c r="K119" s="47" t="s">
        <v>137</v>
      </c>
      <c r="L119" s="17"/>
      <c r="M119" s="116">
        <f>M121</f>
        <v>218723.20116</v>
      </c>
      <c r="N119" s="47" t="s">
        <v>137</v>
      </c>
      <c r="O119" s="47" t="s">
        <v>137</v>
      </c>
      <c r="P119" s="47"/>
      <c r="Q119" s="116"/>
      <c r="R119" s="47" t="s">
        <v>137</v>
      </c>
      <c r="S119" s="47" t="s">
        <v>137</v>
      </c>
      <c r="T119" s="116"/>
      <c r="U119" s="47" t="s">
        <v>137</v>
      </c>
      <c r="V119" s="47" t="s">
        <v>137</v>
      </c>
    </row>
    <row r="120" spans="1:22" x14ac:dyDescent="0.25">
      <c r="A120" s="13"/>
      <c r="B120" s="23" t="s">
        <v>16</v>
      </c>
      <c r="C120" s="116"/>
      <c r="D120" s="47"/>
      <c r="E120" s="66"/>
      <c r="F120" s="116"/>
      <c r="G120" s="47"/>
      <c r="H120" s="47"/>
      <c r="I120" s="116"/>
      <c r="J120" s="47"/>
      <c r="K120" s="47"/>
      <c r="L120" s="17"/>
      <c r="M120" s="116"/>
      <c r="N120" s="47"/>
      <c r="O120" s="47"/>
      <c r="P120" s="47"/>
      <c r="Q120" s="116"/>
      <c r="R120" s="47"/>
      <c r="S120" s="47"/>
      <c r="T120" s="116"/>
      <c r="U120" s="47"/>
      <c r="V120" s="47"/>
    </row>
    <row r="121" spans="1:22" ht="51" x14ac:dyDescent="0.25">
      <c r="A121" s="13"/>
      <c r="B121" s="72" t="s">
        <v>151</v>
      </c>
      <c r="C121" s="116">
        <v>-329873.20970000001</v>
      </c>
      <c r="D121" s="47" t="s">
        <v>137</v>
      </c>
      <c r="E121" s="66" t="s">
        <v>137</v>
      </c>
      <c r="F121" s="116"/>
      <c r="G121" s="47" t="s">
        <v>137</v>
      </c>
      <c r="H121" s="47" t="s">
        <v>137</v>
      </c>
      <c r="I121" s="116"/>
      <c r="J121" s="47" t="s">
        <v>137</v>
      </c>
      <c r="K121" s="47" t="s">
        <v>137</v>
      </c>
      <c r="L121" s="17"/>
      <c r="M121" s="116">
        <v>218723.20116</v>
      </c>
      <c r="N121" s="47" t="s">
        <v>137</v>
      </c>
      <c r="O121" s="47" t="s">
        <v>137</v>
      </c>
      <c r="P121" s="47"/>
      <c r="Q121" s="116"/>
      <c r="R121" s="47" t="s">
        <v>137</v>
      </c>
      <c r="S121" s="47" t="s">
        <v>137</v>
      </c>
      <c r="T121" s="116">
        <v>-48363</v>
      </c>
      <c r="U121" s="47" t="s">
        <v>137</v>
      </c>
      <c r="V121" s="47" t="s">
        <v>137</v>
      </c>
    </row>
    <row r="122" spans="1:22" ht="25.5" x14ac:dyDescent="0.25">
      <c r="A122" s="13"/>
      <c r="B122" s="30" t="s">
        <v>152</v>
      </c>
      <c r="C122" s="116"/>
      <c r="D122" s="47" t="s">
        <v>137</v>
      </c>
      <c r="E122" s="66" t="s">
        <v>137</v>
      </c>
      <c r="F122" s="116"/>
      <c r="G122" s="47" t="s">
        <v>137</v>
      </c>
      <c r="H122" s="47" t="s">
        <v>137</v>
      </c>
      <c r="I122" s="116"/>
      <c r="J122" s="47" t="s">
        <v>137</v>
      </c>
      <c r="K122" s="47" t="s">
        <v>137</v>
      </c>
      <c r="L122" s="17"/>
      <c r="M122" s="116"/>
      <c r="N122" s="47" t="s">
        <v>137</v>
      </c>
      <c r="O122" s="47" t="s">
        <v>137</v>
      </c>
      <c r="P122" s="47"/>
      <c r="Q122" s="116"/>
      <c r="R122" s="47" t="s">
        <v>137</v>
      </c>
      <c r="S122" s="47" t="s">
        <v>137</v>
      </c>
      <c r="T122" s="116"/>
      <c r="U122" s="47" t="s">
        <v>137</v>
      </c>
      <c r="V122" s="47" t="s">
        <v>137</v>
      </c>
    </row>
    <row r="123" spans="1:22" ht="25.5" x14ac:dyDescent="0.25">
      <c r="A123" s="13"/>
      <c r="B123" s="30" t="s">
        <v>153</v>
      </c>
      <c r="C123" s="116"/>
      <c r="D123" s="118" t="s">
        <v>137</v>
      </c>
      <c r="E123" s="66" t="s">
        <v>137</v>
      </c>
      <c r="F123" s="119"/>
      <c r="G123" s="47" t="s">
        <v>137</v>
      </c>
      <c r="H123" s="47" t="s">
        <v>137</v>
      </c>
      <c r="I123" s="119"/>
      <c r="J123" s="47" t="s">
        <v>137</v>
      </c>
      <c r="K123" s="47" t="s">
        <v>137</v>
      </c>
      <c r="L123" s="17"/>
      <c r="M123" s="119"/>
      <c r="N123" s="47" t="s">
        <v>137</v>
      </c>
      <c r="O123" s="47" t="s">
        <v>137</v>
      </c>
      <c r="P123" s="47"/>
      <c r="Q123" s="119"/>
      <c r="R123" s="47" t="s">
        <v>137</v>
      </c>
      <c r="S123" s="47" t="s">
        <v>137</v>
      </c>
      <c r="T123" s="119"/>
      <c r="U123" s="47" t="s">
        <v>137</v>
      </c>
      <c r="V123" s="47" t="s">
        <v>137</v>
      </c>
    </row>
    <row r="124" spans="1:22" ht="39" customHeight="1" x14ac:dyDescent="0.25">
      <c r="A124" s="73" t="s">
        <v>154</v>
      </c>
      <c r="B124" s="74" t="s">
        <v>214</v>
      </c>
      <c r="C124" s="118">
        <f>C125+C126</f>
        <v>418717.50212999998</v>
      </c>
      <c r="D124" s="118" t="s">
        <v>137</v>
      </c>
      <c r="E124" s="120" t="s">
        <v>137</v>
      </c>
      <c r="F124" s="47" t="s">
        <v>137</v>
      </c>
      <c r="G124" s="47" t="s">
        <v>137</v>
      </c>
      <c r="H124" s="118" t="s">
        <v>137</v>
      </c>
      <c r="I124" s="118" t="s">
        <v>137</v>
      </c>
      <c r="J124" s="118" t="s">
        <v>137</v>
      </c>
      <c r="K124" s="118" t="s">
        <v>137</v>
      </c>
      <c r="L124" s="17"/>
      <c r="M124" s="118">
        <f>M125+M126</f>
        <v>685632.47895999998</v>
      </c>
      <c r="N124" s="118" t="s">
        <v>137</v>
      </c>
      <c r="O124" s="118" t="s">
        <v>137</v>
      </c>
      <c r="P124" s="118"/>
      <c r="Q124" s="118">
        <f>Q125+Q126</f>
        <v>0</v>
      </c>
      <c r="R124" s="47" t="s">
        <v>137</v>
      </c>
      <c r="S124" s="47" t="s">
        <v>137</v>
      </c>
      <c r="T124" s="118">
        <f>T125+T126</f>
        <v>539545.09792999993</v>
      </c>
      <c r="U124" s="47" t="s">
        <v>137</v>
      </c>
      <c r="V124" s="47" t="s">
        <v>137</v>
      </c>
    </row>
    <row r="125" spans="1:22" x14ac:dyDescent="0.25">
      <c r="A125" s="22"/>
      <c r="B125" s="23" t="s">
        <v>215</v>
      </c>
      <c r="C125" s="24"/>
      <c r="D125" s="47" t="s">
        <v>137</v>
      </c>
      <c r="E125" s="66" t="s">
        <v>137</v>
      </c>
      <c r="F125" s="47" t="s">
        <v>137</v>
      </c>
      <c r="G125" s="47" t="s">
        <v>137</v>
      </c>
      <c r="H125" s="118" t="s">
        <v>137</v>
      </c>
      <c r="I125" s="118" t="s">
        <v>137</v>
      </c>
      <c r="J125" s="118" t="s">
        <v>137</v>
      </c>
      <c r="K125" s="118" t="s">
        <v>137</v>
      </c>
      <c r="L125" s="17"/>
      <c r="M125" s="121"/>
      <c r="N125" s="118" t="s">
        <v>137</v>
      </c>
      <c r="O125" s="118" t="s">
        <v>137</v>
      </c>
      <c r="P125" s="118"/>
      <c r="Q125" s="121"/>
      <c r="R125" s="47" t="s">
        <v>137</v>
      </c>
      <c r="S125" s="47" t="s">
        <v>137</v>
      </c>
      <c r="T125" s="121"/>
      <c r="U125" s="47" t="s">
        <v>137</v>
      </c>
      <c r="V125" s="47" t="s">
        <v>137</v>
      </c>
    </row>
    <row r="126" spans="1:22" ht="24.75" x14ac:dyDescent="0.25">
      <c r="A126" s="75"/>
      <c r="B126" s="23" t="s">
        <v>216</v>
      </c>
      <c r="C126" s="116">
        <f>C128+C129+C130+C131+C132+C133+C134</f>
        <v>418717.50212999998</v>
      </c>
      <c r="D126" s="47" t="s">
        <v>137</v>
      </c>
      <c r="E126" s="66" t="s">
        <v>137</v>
      </c>
      <c r="F126" s="47" t="s">
        <v>137</v>
      </c>
      <c r="G126" s="47" t="s">
        <v>137</v>
      </c>
      <c r="H126" s="47" t="s">
        <v>137</v>
      </c>
      <c r="I126" s="47" t="s">
        <v>137</v>
      </c>
      <c r="J126" s="118" t="s">
        <v>137</v>
      </c>
      <c r="K126" s="118" t="s">
        <v>137</v>
      </c>
      <c r="L126" s="17"/>
      <c r="M126" s="119">
        <f>M128+M129+M130+M131+M132+M133+M134</f>
        <v>685632.47895999998</v>
      </c>
      <c r="N126" s="118" t="s">
        <v>137</v>
      </c>
      <c r="O126" s="118" t="s">
        <v>137</v>
      </c>
      <c r="P126" s="118"/>
      <c r="Q126" s="119"/>
      <c r="R126" s="47" t="s">
        <v>137</v>
      </c>
      <c r="S126" s="47" t="s">
        <v>137</v>
      </c>
      <c r="T126" s="119">
        <f>T128+T129+T130+T131+T132+T133+T134</f>
        <v>539545.09792999993</v>
      </c>
      <c r="U126" s="47" t="s">
        <v>137</v>
      </c>
      <c r="V126" s="47" t="s">
        <v>137</v>
      </c>
    </row>
    <row r="127" spans="1:22" x14ac:dyDescent="0.25">
      <c r="A127" s="75"/>
      <c r="B127" s="23" t="s">
        <v>6</v>
      </c>
      <c r="C127" s="116"/>
      <c r="D127" s="47"/>
      <c r="E127" s="66"/>
      <c r="F127" s="47"/>
      <c r="G127" s="47"/>
      <c r="H127" s="47"/>
      <c r="I127" s="47"/>
      <c r="J127" s="118"/>
      <c r="K127" s="118"/>
      <c r="L127" s="17"/>
      <c r="M127" s="119"/>
      <c r="N127" s="118"/>
      <c r="O127" s="118"/>
      <c r="P127" s="118" t="e">
        <f>O127/E127</f>
        <v>#DIV/0!</v>
      </c>
      <c r="Q127" s="119"/>
      <c r="R127" s="47"/>
      <c r="S127" s="47"/>
      <c r="T127" s="119"/>
      <c r="U127" s="47"/>
      <c r="V127" s="47"/>
    </row>
    <row r="128" spans="1:22" ht="48.75" x14ac:dyDescent="0.25">
      <c r="A128" s="75"/>
      <c r="B128" s="144" t="s">
        <v>219</v>
      </c>
      <c r="C128" s="116">
        <v>932.38075000000003</v>
      </c>
      <c r="D128" s="47" t="s">
        <v>137</v>
      </c>
      <c r="E128" s="47" t="s">
        <v>137</v>
      </c>
      <c r="F128" s="47" t="s">
        <v>137</v>
      </c>
      <c r="G128" s="47" t="s">
        <v>137</v>
      </c>
      <c r="H128" s="47" t="s">
        <v>137</v>
      </c>
      <c r="I128" s="47" t="s">
        <v>137</v>
      </c>
      <c r="J128" s="47" t="s">
        <v>137</v>
      </c>
      <c r="K128" s="47" t="s">
        <v>137</v>
      </c>
      <c r="L128" s="17"/>
      <c r="M128" s="119">
        <v>1103.68103</v>
      </c>
      <c r="N128" s="47" t="s">
        <v>137</v>
      </c>
      <c r="O128" s="47" t="s">
        <v>137</v>
      </c>
      <c r="P128" s="47"/>
      <c r="Q128" s="119"/>
      <c r="R128" s="47" t="s">
        <v>137</v>
      </c>
      <c r="S128" s="47" t="s">
        <v>137</v>
      </c>
      <c r="T128" s="119">
        <v>741.25</v>
      </c>
      <c r="U128" s="47" t="s">
        <v>137</v>
      </c>
      <c r="V128" s="47" t="s">
        <v>137</v>
      </c>
    </row>
    <row r="129" spans="1:22" s="108" customFormat="1" ht="36.75" x14ac:dyDescent="0.25">
      <c r="A129" s="76"/>
      <c r="B129" s="144" t="s">
        <v>217</v>
      </c>
      <c r="C129" s="116">
        <v>258121.73842000001</v>
      </c>
      <c r="D129" s="47" t="s">
        <v>137</v>
      </c>
      <c r="E129" s="47" t="s">
        <v>137</v>
      </c>
      <c r="F129" s="47" t="s">
        <v>137</v>
      </c>
      <c r="G129" s="47" t="s">
        <v>137</v>
      </c>
      <c r="H129" s="47" t="s">
        <v>137</v>
      </c>
      <c r="I129" s="47" t="s">
        <v>137</v>
      </c>
      <c r="J129" s="47" t="s">
        <v>137</v>
      </c>
      <c r="K129" s="47" t="s">
        <v>137</v>
      </c>
      <c r="L129" s="48"/>
      <c r="M129" s="119">
        <v>476673.63929999998</v>
      </c>
      <c r="N129" s="47" t="s">
        <v>137</v>
      </c>
      <c r="O129" s="47" t="s">
        <v>137</v>
      </c>
      <c r="P129" s="47"/>
      <c r="Q129" s="119"/>
      <c r="R129" s="47" t="s">
        <v>137</v>
      </c>
      <c r="S129" s="47" t="s">
        <v>137</v>
      </c>
      <c r="T129" s="119">
        <f>M129-52000-8000-48000</f>
        <v>368673.63929999998</v>
      </c>
      <c r="U129" s="47" t="s">
        <v>137</v>
      </c>
      <c r="V129" s="47" t="s">
        <v>137</v>
      </c>
    </row>
    <row r="130" spans="1:22" s="108" customFormat="1" ht="36.75" x14ac:dyDescent="0.25">
      <c r="A130" s="76"/>
      <c r="B130" s="144" t="s">
        <v>218</v>
      </c>
      <c r="C130" s="116">
        <v>0</v>
      </c>
      <c r="D130" s="47" t="s">
        <v>137</v>
      </c>
      <c r="E130" s="47" t="s">
        <v>137</v>
      </c>
      <c r="F130" s="47" t="s">
        <v>137</v>
      </c>
      <c r="G130" s="47" t="s">
        <v>137</v>
      </c>
      <c r="H130" s="47" t="s">
        <v>137</v>
      </c>
      <c r="I130" s="47" t="s">
        <v>137</v>
      </c>
      <c r="J130" s="47" t="s">
        <v>137</v>
      </c>
      <c r="K130" s="47" t="s">
        <v>137</v>
      </c>
      <c r="L130" s="48"/>
      <c r="M130" s="119">
        <v>0</v>
      </c>
      <c r="N130" s="47" t="s">
        <v>137</v>
      </c>
      <c r="O130" s="47" t="s">
        <v>137</v>
      </c>
      <c r="P130" s="47"/>
      <c r="Q130" s="119"/>
      <c r="R130" s="47" t="s">
        <v>137</v>
      </c>
      <c r="S130" s="47" t="s">
        <v>137</v>
      </c>
      <c r="T130" s="119">
        <v>0</v>
      </c>
      <c r="U130" s="47" t="s">
        <v>137</v>
      </c>
      <c r="V130" s="47" t="s">
        <v>137</v>
      </c>
    </row>
    <row r="131" spans="1:22" s="108" customFormat="1" ht="24.75" x14ac:dyDescent="0.25">
      <c r="A131" s="76"/>
      <c r="B131" s="144" t="s">
        <v>209</v>
      </c>
      <c r="C131" s="116">
        <v>612.88712999999996</v>
      </c>
      <c r="D131" s="47" t="s">
        <v>137</v>
      </c>
      <c r="E131" s="66" t="s">
        <v>137</v>
      </c>
      <c r="F131" s="47" t="s">
        <v>137</v>
      </c>
      <c r="G131" s="47" t="s">
        <v>137</v>
      </c>
      <c r="H131" s="47" t="s">
        <v>137</v>
      </c>
      <c r="I131" s="47" t="s">
        <v>137</v>
      </c>
      <c r="J131" s="47" t="s">
        <v>137</v>
      </c>
      <c r="K131" s="47" t="s">
        <v>137</v>
      </c>
      <c r="L131" s="48"/>
      <c r="M131" s="119">
        <v>0</v>
      </c>
      <c r="N131" s="47" t="s">
        <v>137</v>
      </c>
      <c r="O131" s="47" t="s">
        <v>137</v>
      </c>
      <c r="P131" s="47"/>
      <c r="Q131" s="119"/>
      <c r="R131" s="47" t="s">
        <v>137</v>
      </c>
      <c r="S131" s="47" t="s">
        <v>137</v>
      </c>
      <c r="T131" s="119">
        <v>0</v>
      </c>
      <c r="U131" s="47" t="s">
        <v>137</v>
      </c>
      <c r="V131" s="47" t="s">
        <v>137</v>
      </c>
    </row>
    <row r="132" spans="1:22" ht="36.75" x14ac:dyDescent="0.25">
      <c r="A132" s="76"/>
      <c r="B132" s="144" t="s">
        <v>220</v>
      </c>
      <c r="C132" s="116">
        <f>122767.2011+2.898+451.51989</f>
        <v>123221.61899</v>
      </c>
      <c r="D132" s="47" t="s">
        <v>137</v>
      </c>
      <c r="E132" s="66" t="s">
        <v>137</v>
      </c>
      <c r="F132" s="47" t="s">
        <v>137</v>
      </c>
      <c r="G132" s="47" t="s">
        <v>137</v>
      </c>
      <c r="H132" s="47" t="s">
        <v>137</v>
      </c>
      <c r="I132" s="47" t="s">
        <v>137</v>
      </c>
      <c r="J132" s="118" t="s">
        <v>137</v>
      </c>
      <c r="K132" s="118" t="s">
        <v>137</v>
      </c>
      <c r="L132" s="17"/>
      <c r="M132" s="119">
        <v>105158.04355</v>
      </c>
      <c r="N132" s="118" t="s">
        <v>137</v>
      </c>
      <c r="O132" s="118" t="s">
        <v>137</v>
      </c>
      <c r="P132" s="118"/>
      <c r="Q132" s="119"/>
      <c r="R132" s="47" t="s">
        <v>137</v>
      </c>
      <c r="S132" s="47" t="s">
        <v>137</v>
      </c>
      <c r="T132" s="119">
        <f>M132</f>
        <v>105158.04355</v>
      </c>
      <c r="U132" s="47" t="s">
        <v>137</v>
      </c>
      <c r="V132" s="47" t="s">
        <v>137</v>
      </c>
    </row>
    <row r="133" spans="1:22" s="108" customFormat="1" ht="60.75" x14ac:dyDescent="0.25">
      <c r="A133" s="76"/>
      <c r="B133" s="144" t="s">
        <v>210</v>
      </c>
      <c r="C133" s="116">
        <v>40183.786899999999</v>
      </c>
      <c r="D133" s="47" t="s">
        <v>137</v>
      </c>
      <c r="E133" s="47" t="s">
        <v>137</v>
      </c>
      <c r="F133" s="47" t="s">
        <v>137</v>
      </c>
      <c r="G133" s="47" t="s">
        <v>137</v>
      </c>
      <c r="H133" s="47" t="s">
        <v>137</v>
      </c>
      <c r="I133" s="47" t="s">
        <v>137</v>
      </c>
      <c r="J133" s="47" t="s">
        <v>137</v>
      </c>
      <c r="K133" s="47" t="s">
        <v>137</v>
      </c>
      <c r="L133" s="48"/>
      <c r="M133" s="119">
        <v>46366.419739999998</v>
      </c>
      <c r="N133" s="47" t="s">
        <v>137</v>
      </c>
      <c r="O133" s="47" t="s">
        <v>137</v>
      </c>
      <c r="P133" s="47"/>
      <c r="Q133" s="119"/>
      <c r="R133" s="47" t="s">
        <v>137</v>
      </c>
      <c r="S133" s="47" t="s">
        <v>137</v>
      </c>
      <c r="T133" s="119">
        <f>M133</f>
        <v>46366.419739999998</v>
      </c>
      <c r="U133" s="47" t="s">
        <v>137</v>
      </c>
      <c r="V133" s="47" t="s">
        <v>137</v>
      </c>
    </row>
    <row r="134" spans="1:22" s="108" customFormat="1" x14ac:dyDescent="0.25">
      <c r="A134" s="76"/>
      <c r="B134" s="144" t="s">
        <v>221</v>
      </c>
      <c r="C134" s="116">
        <v>-4354.9100600000002</v>
      </c>
      <c r="D134" s="47" t="s">
        <v>137</v>
      </c>
      <c r="E134" s="47" t="s">
        <v>137</v>
      </c>
      <c r="F134" s="47" t="s">
        <v>137</v>
      </c>
      <c r="G134" s="47" t="s">
        <v>137</v>
      </c>
      <c r="H134" s="47" t="s">
        <v>137</v>
      </c>
      <c r="I134" s="47" t="s">
        <v>137</v>
      </c>
      <c r="J134" s="47" t="s">
        <v>137</v>
      </c>
      <c r="K134" s="47" t="s">
        <v>137</v>
      </c>
      <c r="L134" s="48"/>
      <c r="M134" s="119">
        <v>56330.695339999998</v>
      </c>
      <c r="N134" s="47" t="s">
        <v>137</v>
      </c>
      <c r="O134" s="47" t="s">
        <v>137</v>
      </c>
      <c r="P134" s="47"/>
      <c r="Q134" s="119"/>
      <c r="R134" s="47" t="s">
        <v>137</v>
      </c>
      <c r="S134" s="47" t="s">
        <v>137</v>
      </c>
      <c r="T134" s="119">
        <f>M134+V106+T111</f>
        <v>18605.745340000001</v>
      </c>
      <c r="U134" s="47" t="s">
        <v>137</v>
      </c>
      <c r="V134" s="47" t="s">
        <v>137</v>
      </c>
    </row>
    <row r="135" spans="1:22" ht="26.25" x14ac:dyDescent="0.25">
      <c r="A135" s="73" t="s">
        <v>155</v>
      </c>
      <c r="B135" s="71" t="s">
        <v>156</v>
      </c>
      <c r="C135" s="119">
        <v>0</v>
      </c>
      <c r="D135" s="116"/>
      <c r="E135" s="122"/>
      <c r="F135" s="47" t="s">
        <v>137</v>
      </c>
      <c r="G135" s="47" t="s">
        <v>137</v>
      </c>
      <c r="H135" s="47" t="s">
        <v>137</v>
      </c>
      <c r="I135" s="47" t="s">
        <v>137</v>
      </c>
      <c r="J135" s="47" t="s">
        <v>137</v>
      </c>
      <c r="K135" s="47" t="s">
        <v>137</v>
      </c>
      <c r="L135" s="123" t="s">
        <v>137</v>
      </c>
      <c r="M135" s="119">
        <v>0</v>
      </c>
      <c r="N135" s="119"/>
      <c r="O135" s="119"/>
      <c r="P135" s="119" t="e">
        <f t="shared" ref="P135:P153" si="71">O135/E135</f>
        <v>#DIV/0!</v>
      </c>
      <c r="Q135" s="119">
        <v>0</v>
      </c>
      <c r="R135" s="119"/>
      <c r="S135" s="119"/>
      <c r="T135" s="119">
        <v>0</v>
      </c>
      <c r="U135" s="119"/>
      <c r="V135" s="119"/>
    </row>
    <row r="136" spans="1:22" s="109" customFormat="1" ht="20.25" customHeight="1" x14ac:dyDescent="0.25">
      <c r="A136" s="73" t="s">
        <v>157</v>
      </c>
      <c r="B136" s="77" t="s">
        <v>158</v>
      </c>
      <c r="C136" s="124">
        <f>SUM(C137:C150)</f>
        <v>3747292.3447799999</v>
      </c>
      <c r="D136" s="124">
        <f t="shared" ref="D136:U136" si="72">SUM(D137:D150)</f>
        <v>2187765.0036299997</v>
      </c>
      <c r="E136" s="125">
        <f>C136-D136</f>
        <v>1559527.3411500002</v>
      </c>
      <c r="F136" s="124">
        <f>SUM(F137:F150)</f>
        <v>4109661.7452000002</v>
      </c>
      <c r="G136" s="124">
        <f t="shared" si="72"/>
        <v>2473144.59968</v>
      </c>
      <c r="H136" s="125">
        <f>F136-G136</f>
        <v>1636517.1455200003</v>
      </c>
      <c r="I136" s="124">
        <f t="shared" si="72"/>
        <v>4146774.41322</v>
      </c>
      <c r="J136" s="124">
        <f t="shared" si="72"/>
        <v>2417031.4392000004</v>
      </c>
      <c r="K136" s="125">
        <f>I136-J136</f>
        <v>1729742.9740199996</v>
      </c>
      <c r="L136" s="17">
        <f t="shared" ref="L136:L151" si="73">K136/E136</f>
        <v>1.1091456548267258</v>
      </c>
      <c r="M136" s="126">
        <f t="shared" si="72"/>
        <v>3908516.3406400001</v>
      </c>
      <c r="N136" s="126">
        <f t="shared" si="72"/>
        <v>2243567.9906789996</v>
      </c>
      <c r="O136" s="125">
        <f>M136-N136</f>
        <v>1664948.3499610005</v>
      </c>
      <c r="P136" s="125">
        <f t="shared" si="71"/>
        <v>1.0675980510436338</v>
      </c>
      <c r="Q136" s="126">
        <f t="shared" si="72"/>
        <v>5298167.4686200004</v>
      </c>
      <c r="R136" s="126">
        <f t="shared" si="72"/>
        <v>2853299.1055099997</v>
      </c>
      <c r="S136" s="125">
        <f>Q136-R136</f>
        <v>2444868.3631100007</v>
      </c>
      <c r="T136" s="126">
        <f t="shared" si="72"/>
        <v>124542.02608</v>
      </c>
      <c r="U136" s="126">
        <f t="shared" si="72"/>
        <v>52371.532339999998</v>
      </c>
      <c r="V136" s="125">
        <f>T136-U136</f>
        <v>72170.493740000005</v>
      </c>
    </row>
    <row r="137" spans="1:22" x14ac:dyDescent="0.25">
      <c r="A137" s="78"/>
      <c r="B137" s="79" t="s">
        <v>159</v>
      </c>
      <c r="C137" s="127">
        <v>453444.98658000003</v>
      </c>
      <c r="D137" s="127">
        <v>19132.08599</v>
      </c>
      <c r="E137" s="128">
        <f>C137-D137</f>
        <v>434312.90059000003</v>
      </c>
      <c r="F137" s="114">
        <v>446335.88900000002</v>
      </c>
      <c r="G137" s="114">
        <v>1029.9780000000001</v>
      </c>
      <c r="H137" s="128">
        <f>F137-G137</f>
        <v>445305.91100000002</v>
      </c>
      <c r="I137" s="129">
        <v>478292.77082999999</v>
      </c>
      <c r="J137" s="129">
        <v>10525.001539999999</v>
      </c>
      <c r="K137" s="128">
        <f>I137-J137</f>
        <v>467767.76928999997</v>
      </c>
      <c r="L137" s="17">
        <f t="shared" si="73"/>
        <v>1.0770294150934789</v>
      </c>
      <c r="M137" s="129">
        <v>466819.54840999999</v>
      </c>
      <c r="N137" s="129">
        <v>10462.55946</v>
      </c>
      <c r="O137" s="128">
        <f>M137-N137</f>
        <v>456356.98894999997</v>
      </c>
      <c r="P137" s="128">
        <f t="shared" si="71"/>
        <v>1.0507562366442575</v>
      </c>
      <c r="Q137" s="129">
        <v>633821.70591000002</v>
      </c>
      <c r="R137" s="129">
        <v>2528.6989100000001</v>
      </c>
      <c r="S137" s="128">
        <f>Q137-R137</f>
        <v>631293.00699999998</v>
      </c>
      <c r="T137" s="129">
        <f>115.12582+1673.16347+104.68329+63.92047+15.13947+14.56573+112.72553+29.59184+65.7846+285.01623+557.23731+1294.07447+357.42147+65+4000+2000+1257</f>
        <v>12010.449700000001</v>
      </c>
      <c r="U137" s="129">
        <f>274</f>
        <v>274</v>
      </c>
      <c r="V137" s="128">
        <f>T137-U137</f>
        <v>11736.449700000001</v>
      </c>
    </row>
    <row r="138" spans="1:22" x14ac:dyDescent="0.25">
      <c r="A138" s="78"/>
      <c r="B138" s="80" t="s">
        <v>160</v>
      </c>
      <c r="C138" s="127">
        <v>2965.4297999999999</v>
      </c>
      <c r="D138" s="127">
        <f>C138</f>
        <v>2965.4297999999999</v>
      </c>
      <c r="E138" s="128">
        <f t="shared" ref="E138:E150" si="74">C138-D138</f>
        <v>0</v>
      </c>
      <c r="F138" s="112">
        <v>2653.5441999999998</v>
      </c>
      <c r="G138" s="112">
        <f>F138</f>
        <v>2653.5441999999998</v>
      </c>
      <c r="H138" s="128">
        <f t="shared" ref="H138:H150" si="75">F138-G138</f>
        <v>0</v>
      </c>
      <c r="I138" s="24">
        <v>2792.8327599999998</v>
      </c>
      <c r="J138" s="24">
        <f>I138</f>
        <v>2792.8327599999998</v>
      </c>
      <c r="K138" s="128">
        <f t="shared" ref="K138:K150" si="76">I138-J138</f>
        <v>0</v>
      </c>
      <c r="L138" s="17" t="e">
        <f t="shared" si="73"/>
        <v>#DIV/0!</v>
      </c>
      <c r="M138" s="24">
        <v>2781.4508999999998</v>
      </c>
      <c r="N138" s="24">
        <f>M138</f>
        <v>2781.4508999999998</v>
      </c>
      <c r="O138" s="128">
        <f t="shared" ref="O138:O150" si="77">M138-N138</f>
        <v>0</v>
      </c>
      <c r="P138" s="128" t="e">
        <f t="shared" si="71"/>
        <v>#DIV/0!</v>
      </c>
      <c r="Q138" s="24">
        <v>3732.2235000000001</v>
      </c>
      <c r="R138" s="24">
        <f>Q138</f>
        <v>3732.2235000000001</v>
      </c>
      <c r="S138" s="128">
        <f t="shared" ref="S138:S150" si="78">Q138-R138</f>
        <v>0</v>
      </c>
      <c r="T138" s="24"/>
      <c r="U138" s="24"/>
      <c r="V138" s="128">
        <f t="shared" ref="V138:V150" si="79">T138-U138</f>
        <v>0</v>
      </c>
    </row>
    <row r="139" spans="1:22" x14ac:dyDescent="0.25">
      <c r="A139" s="78"/>
      <c r="B139" s="80" t="s">
        <v>161</v>
      </c>
      <c r="C139" s="24">
        <v>25668.480930000002</v>
      </c>
      <c r="D139" s="24">
        <v>3411.7733699999999</v>
      </c>
      <c r="E139" s="128">
        <f t="shared" si="74"/>
        <v>22256.707560000003</v>
      </c>
      <c r="F139" s="112">
        <v>24624.390790000001</v>
      </c>
      <c r="G139" s="112">
        <v>3704.29079</v>
      </c>
      <c r="H139" s="128">
        <f t="shared" si="75"/>
        <v>20920.100000000002</v>
      </c>
      <c r="I139" s="24">
        <v>25644.650549999998</v>
      </c>
      <c r="J139" s="24">
        <v>3801.2431000000001</v>
      </c>
      <c r="K139" s="128">
        <f t="shared" si="76"/>
        <v>21843.407449999999</v>
      </c>
      <c r="L139" s="17">
        <f t="shared" si="73"/>
        <v>0.98143031223797039</v>
      </c>
      <c r="M139" s="24">
        <v>25271.00865</v>
      </c>
      <c r="N139" s="24">
        <v>3795.3961899999999</v>
      </c>
      <c r="O139" s="128">
        <f t="shared" si="77"/>
        <v>21475.61246</v>
      </c>
      <c r="P139" s="128">
        <f t="shared" si="71"/>
        <v>0.96490518204930742</v>
      </c>
      <c r="Q139" s="24">
        <v>29719.554120000001</v>
      </c>
      <c r="R139" s="24">
        <v>4456.7841200000003</v>
      </c>
      <c r="S139" s="128">
        <f t="shared" si="78"/>
        <v>25262.77</v>
      </c>
      <c r="T139" s="24">
        <f>260+38.40319+16.32204</f>
        <v>314.72523000000001</v>
      </c>
      <c r="U139" s="24"/>
      <c r="V139" s="128">
        <f t="shared" si="79"/>
        <v>314.72523000000001</v>
      </c>
    </row>
    <row r="140" spans="1:22" x14ac:dyDescent="0.25">
      <c r="A140" s="78"/>
      <c r="B140" s="80" t="s">
        <v>162</v>
      </c>
      <c r="C140" s="24">
        <v>266467.22411000001</v>
      </c>
      <c r="D140" s="24">
        <v>176340.71895000001</v>
      </c>
      <c r="E140" s="128">
        <f t="shared" si="74"/>
        <v>90126.505160000001</v>
      </c>
      <c r="F140" s="112">
        <v>147076.36095</v>
      </c>
      <c r="G140" s="112">
        <v>51621.231950000001</v>
      </c>
      <c r="H140" s="128">
        <f t="shared" si="75"/>
        <v>95455.129000000001</v>
      </c>
      <c r="I140" s="24">
        <v>183875.87153</v>
      </c>
      <c r="J140" s="24">
        <v>73226.929740000007</v>
      </c>
      <c r="K140" s="128">
        <f t="shared" si="76"/>
        <v>110648.94179</v>
      </c>
      <c r="L140" s="17">
        <f t="shared" si="73"/>
        <v>1.2277070057644739</v>
      </c>
      <c r="M140" s="24">
        <v>182296.11937999999</v>
      </c>
      <c r="N140" s="24">
        <v>72122.82733</v>
      </c>
      <c r="O140" s="128">
        <f t="shared" si="77"/>
        <v>110173.29204999999</v>
      </c>
      <c r="P140" s="128">
        <f t="shared" si="71"/>
        <v>1.2224294268862559</v>
      </c>
      <c r="Q140" s="24">
        <v>252788.54342</v>
      </c>
      <c r="R140" s="24">
        <v>78006.297200000001</v>
      </c>
      <c r="S140" s="128">
        <f t="shared" si="78"/>
        <v>174782.24622</v>
      </c>
      <c r="T140" s="24">
        <f>3000+1000</f>
        <v>4000</v>
      </c>
      <c r="U140" s="24"/>
      <c r="V140" s="128">
        <f t="shared" si="79"/>
        <v>4000</v>
      </c>
    </row>
    <row r="141" spans="1:22" x14ac:dyDescent="0.25">
      <c r="A141" s="78"/>
      <c r="B141" s="80" t="s">
        <v>163</v>
      </c>
      <c r="C141" s="24">
        <f>436514.79023</f>
        <v>436514.79022999998</v>
      </c>
      <c r="D141" s="24">
        <v>185684.92285</v>
      </c>
      <c r="E141" s="128">
        <f t="shared" si="74"/>
        <v>250829.86737999998</v>
      </c>
      <c r="F141" s="112">
        <v>572503.83837999997</v>
      </c>
      <c r="G141" s="112">
        <v>374415.73838</v>
      </c>
      <c r="H141" s="128">
        <f t="shared" si="75"/>
        <v>198088.09999999998</v>
      </c>
      <c r="I141" s="24">
        <v>623532.81932000001</v>
      </c>
      <c r="J141" s="24">
        <v>445911.18767000001</v>
      </c>
      <c r="K141" s="128">
        <f t="shared" si="76"/>
        <v>177621.63165</v>
      </c>
      <c r="L141" s="17">
        <f t="shared" si="73"/>
        <v>0.70813589109349717</v>
      </c>
      <c r="M141" s="24">
        <v>461588.17813999997</v>
      </c>
      <c r="N141" s="24">
        <v>286162.897429</v>
      </c>
      <c r="O141" s="128">
        <f t="shared" si="77"/>
        <v>175425.28071099997</v>
      </c>
      <c r="P141" s="128">
        <f t="shared" si="71"/>
        <v>0.69937955373247374</v>
      </c>
      <c r="Q141" s="24">
        <v>432236.33779999998</v>
      </c>
      <c r="R141" s="24">
        <v>122587.452</v>
      </c>
      <c r="S141" s="128">
        <f t="shared" si="78"/>
        <v>309648.88579999999</v>
      </c>
      <c r="T141" s="24">
        <f>66.23308+1000+3000</f>
        <v>4066.23308</v>
      </c>
      <c r="U141" s="24"/>
      <c r="V141" s="128">
        <f t="shared" si="79"/>
        <v>4066.23308</v>
      </c>
    </row>
    <row r="142" spans="1:22" x14ac:dyDescent="0.25">
      <c r="A142" s="78"/>
      <c r="B142" s="80" t="s">
        <v>164</v>
      </c>
      <c r="C142" s="24">
        <v>1365.8040000000001</v>
      </c>
      <c r="D142" s="24">
        <v>0</v>
      </c>
      <c r="E142" s="128">
        <f t="shared" si="74"/>
        <v>1365.8040000000001</v>
      </c>
      <c r="F142" s="112">
        <v>13126.9</v>
      </c>
      <c r="G142" s="112">
        <v>0</v>
      </c>
      <c r="H142" s="128">
        <f t="shared" si="75"/>
        <v>13126.9</v>
      </c>
      <c r="I142" s="24">
        <v>47891.452599999997</v>
      </c>
      <c r="J142" s="24">
        <v>0</v>
      </c>
      <c r="K142" s="128">
        <f t="shared" si="76"/>
        <v>47891.452599999997</v>
      </c>
      <c r="L142" s="17">
        <f t="shared" si="73"/>
        <v>35.064659790130939</v>
      </c>
      <c r="M142" s="24">
        <v>1530.75206</v>
      </c>
      <c r="N142" s="24">
        <v>0</v>
      </c>
      <c r="O142" s="128">
        <f t="shared" si="77"/>
        <v>1530.75206</v>
      </c>
      <c r="P142" s="128">
        <f t="shared" si="71"/>
        <v>1.1207699347783429</v>
      </c>
      <c r="Q142" s="24">
        <v>38254.551379999997</v>
      </c>
      <c r="R142" s="24"/>
      <c r="S142" s="128">
        <f t="shared" si="78"/>
        <v>38254.551379999997</v>
      </c>
      <c r="T142" s="24"/>
      <c r="U142" s="24"/>
      <c r="V142" s="128">
        <f t="shared" si="79"/>
        <v>0</v>
      </c>
    </row>
    <row r="143" spans="1:22" x14ac:dyDescent="0.25">
      <c r="A143" s="78"/>
      <c r="B143" s="80" t="s">
        <v>165</v>
      </c>
      <c r="C143" s="24">
        <v>1985647.57874</v>
      </c>
      <c r="D143" s="24">
        <v>1439887.5888</v>
      </c>
      <c r="E143" s="128">
        <f t="shared" si="74"/>
        <v>545759.98994</v>
      </c>
      <c r="F143" s="112">
        <v>2458803.8533600001</v>
      </c>
      <c r="G143" s="112">
        <v>1829124.8533600001</v>
      </c>
      <c r="H143" s="128">
        <f t="shared" si="75"/>
        <v>629679</v>
      </c>
      <c r="I143" s="24">
        <v>2301803.5495699998</v>
      </c>
      <c r="J143" s="24">
        <v>1642712.6810000001</v>
      </c>
      <c r="K143" s="128">
        <f t="shared" si="76"/>
        <v>659090.8685699997</v>
      </c>
      <c r="L143" s="17">
        <f t="shared" si="73"/>
        <v>1.2076569934019148</v>
      </c>
      <c r="M143" s="24">
        <v>2297448.3056399999</v>
      </c>
      <c r="N143" s="24">
        <v>1640576.5285799999</v>
      </c>
      <c r="O143" s="128">
        <f t="shared" si="77"/>
        <v>656871.77705999999</v>
      </c>
      <c r="P143" s="128">
        <f t="shared" si="71"/>
        <v>1.2035909358841337</v>
      </c>
      <c r="Q143" s="24">
        <v>3420019.2497700001</v>
      </c>
      <c r="R143" s="24">
        <v>2506855.1180599998</v>
      </c>
      <c r="S143" s="128">
        <f t="shared" si="78"/>
        <v>913164.13171000034</v>
      </c>
      <c r="T143" s="24">
        <f>5000+15000+7500+1000+6000+3000+5.95+44000</f>
        <v>81505.95</v>
      </c>
      <c r="U143" s="24">
        <f>15000+31033</f>
        <v>46033</v>
      </c>
      <c r="V143" s="128">
        <f t="shared" si="79"/>
        <v>35472.949999999997</v>
      </c>
    </row>
    <row r="144" spans="1:22" x14ac:dyDescent="0.25">
      <c r="A144" s="78"/>
      <c r="B144" s="80" t="s">
        <v>166</v>
      </c>
      <c r="C144" s="24">
        <v>314034.41052999999</v>
      </c>
      <c r="D144" s="24">
        <v>205208.47227999999</v>
      </c>
      <c r="E144" s="128">
        <f t="shared" si="74"/>
        <v>108825.93825000001</v>
      </c>
      <c r="F144" s="112">
        <v>181242.02799999999</v>
      </c>
      <c r="G144" s="112">
        <v>63723.328000000001</v>
      </c>
      <c r="H144" s="128">
        <f t="shared" si="75"/>
        <v>117518.69999999998</v>
      </c>
      <c r="I144" s="24">
        <v>189903.71617</v>
      </c>
      <c r="J144" s="24">
        <v>83576.275999999998</v>
      </c>
      <c r="K144" s="128">
        <f t="shared" si="76"/>
        <v>106327.44017</v>
      </c>
      <c r="L144" s="17">
        <f t="shared" si="73"/>
        <v>0.97704133665027226</v>
      </c>
      <c r="M144" s="24">
        <v>188744.17720999999</v>
      </c>
      <c r="N144" s="24">
        <v>83576.275999999998</v>
      </c>
      <c r="O144" s="128">
        <f t="shared" si="77"/>
        <v>105167.90121</v>
      </c>
      <c r="P144" s="128">
        <f t="shared" si="71"/>
        <v>0.96638634962561409</v>
      </c>
      <c r="Q144" s="24">
        <v>185724.97672000001</v>
      </c>
      <c r="R144" s="24">
        <v>1172.54972</v>
      </c>
      <c r="S144" s="128">
        <f t="shared" si="78"/>
        <v>184552.427</v>
      </c>
      <c r="T144" s="24">
        <f>6500+3000</f>
        <v>9500</v>
      </c>
      <c r="U144" s="24"/>
      <c r="V144" s="128">
        <f t="shared" si="79"/>
        <v>9500</v>
      </c>
    </row>
    <row r="145" spans="1:22" x14ac:dyDescent="0.25">
      <c r="A145" s="78"/>
      <c r="B145" s="80" t="s">
        <v>167</v>
      </c>
      <c r="C145" s="24"/>
      <c r="D145" s="24"/>
      <c r="E145" s="128">
        <f t="shared" si="74"/>
        <v>0</v>
      </c>
      <c r="F145" s="112"/>
      <c r="G145" s="112"/>
      <c r="H145" s="128">
        <f t="shared" si="75"/>
        <v>0</v>
      </c>
      <c r="I145" s="24"/>
      <c r="J145" s="24"/>
      <c r="K145" s="128">
        <f t="shared" si="76"/>
        <v>0</v>
      </c>
      <c r="L145" s="17" t="e">
        <f t="shared" si="73"/>
        <v>#DIV/0!</v>
      </c>
      <c r="M145" s="24"/>
      <c r="N145" s="24"/>
      <c r="O145" s="128">
        <f t="shared" si="77"/>
        <v>0</v>
      </c>
      <c r="P145" s="128" t="e">
        <f t="shared" si="71"/>
        <v>#DIV/0!</v>
      </c>
      <c r="Q145" s="24"/>
      <c r="R145" s="24"/>
      <c r="S145" s="128">
        <f t="shared" si="78"/>
        <v>0</v>
      </c>
      <c r="T145" s="24"/>
      <c r="U145" s="24"/>
      <c r="V145" s="128">
        <f t="shared" si="79"/>
        <v>0</v>
      </c>
    </row>
    <row r="146" spans="1:22" x14ac:dyDescent="0.25">
      <c r="A146" s="78"/>
      <c r="B146" s="80" t="s">
        <v>168</v>
      </c>
      <c r="C146" s="24">
        <v>115988.21032</v>
      </c>
      <c r="D146" s="24">
        <v>109430.46756999999</v>
      </c>
      <c r="E146" s="128">
        <f t="shared" si="74"/>
        <v>6557.7427500000049</v>
      </c>
      <c r="F146" s="112">
        <v>135376.64051999999</v>
      </c>
      <c r="G146" s="112">
        <v>128242.83500000001</v>
      </c>
      <c r="H146" s="128">
        <f t="shared" si="75"/>
        <v>7133.8055199999799</v>
      </c>
      <c r="I146" s="24">
        <v>135212.58799999999</v>
      </c>
      <c r="J146" s="24">
        <v>128413.933</v>
      </c>
      <c r="K146" s="128">
        <f t="shared" si="76"/>
        <v>6798.6549999999843</v>
      </c>
      <c r="L146" s="17">
        <f t="shared" si="73"/>
        <v>1.0367370693216014</v>
      </c>
      <c r="M146" s="24">
        <v>124813.89741000001</v>
      </c>
      <c r="N146" s="24">
        <v>118038.23041</v>
      </c>
      <c r="O146" s="128">
        <f t="shared" si="77"/>
        <v>6775.6670000000013</v>
      </c>
      <c r="P146" s="128">
        <f t="shared" si="71"/>
        <v>1.0332315948197262</v>
      </c>
      <c r="Q146" s="24">
        <v>141152.84599999999</v>
      </c>
      <c r="R146" s="24">
        <v>133061.60200000001</v>
      </c>
      <c r="S146" s="128">
        <f t="shared" si="78"/>
        <v>8091.2439999999769</v>
      </c>
      <c r="T146" s="24">
        <f>64.789+2900+26.07057+73.67277+3000</f>
        <v>6064.5323399999997</v>
      </c>
      <c r="U146" s="24">
        <f>T146</f>
        <v>6064.5323399999997</v>
      </c>
      <c r="V146" s="128">
        <f t="shared" si="79"/>
        <v>0</v>
      </c>
    </row>
    <row r="147" spans="1:22" x14ac:dyDescent="0.25">
      <c r="A147" s="78"/>
      <c r="B147" s="80" t="s">
        <v>169</v>
      </c>
      <c r="C147" s="24">
        <v>134778.38602999999</v>
      </c>
      <c r="D147" s="24">
        <v>45512.788079999998</v>
      </c>
      <c r="E147" s="128">
        <f t="shared" si="74"/>
        <v>89265.597949999996</v>
      </c>
      <c r="F147" s="112">
        <v>116288.1</v>
      </c>
      <c r="G147" s="112">
        <v>18628.8</v>
      </c>
      <c r="H147" s="128">
        <f t="shared" si="75"/>
        <v>97659.3</v>
      </c>
      <c r="I147" s="24">
        <v>145907.5803</v>
      </c>
      <c r="J147" s="24">
        <v>26033.29693</v>
      </c>
      <c r="K147" s="128">
        <f t="shared" si="76"/>
        <v>119874.28337</v>
      </c>
      <c r="L147" s="17">
        <f t="shared" si="73"/>
        <v>1.3428945318569954</v>
      </c>
      <c r="M147" s="24">
        <v>145306.32126</v>
      </c>
      <c r="N147" s="24">
        <v>26013.766919999998</v>
      </c>
      <c r="O147" s="128">
        <f t="shared" si="77"/>
        <v>119292.55434</v>
      </c>
      <c r="P147" s="128">
        <f t="shared" si="71"/>
        <v>1.3363776984591409</v>
      </c>
      <c r="Q147" s="24">
        <v>147772.48000000001</v>
      </c>
      <c r="R147" s="24">
        <v>898.38</v>
      </c>
      <c r="S147" s="128">
        <f t="shared" si="78"/>
        <v>146874.1</v>
      </c>
      <c r="T147" s="24">
        <f>30+6000</f>
        <v>6030</v>
      </c>
      <c r="U147" s="24"/>
      <c r="V147" s="128">
        <f t="shared" si="79"/>
        <v>6030</v>
      </c>
    </row>
    <row r="148" spans="1:22" x14ac:dyDescent="0.25">
      <c r="A148" s="78"/>
      <c r="B148" s="80" t="s">
        <v>170</v>
      </c>
      <c r="C148" s="24">
        <v>10370.905940000001</v>
      </c>
      <c r="D148" s="24">
        <v>190.75594000000001</v>
      </c>
      <c r="E148" s="128">
        <f t="shared" si="74"/>
        <v>10180.150000000001</v>
      </c>
      <c r="F148" s="112">
        <v>11490.2</v>
      </c>
      <c r="G148" s="112">
        <v>0</v>
      </c>
      <c r="H148" s="128">
        <f t="shared" si="75"/>
        <v>11490.2</v>
      </c>
      <c r="I148" s="24">
        <v>11880.516379999999</v>
      </c>
      <c r="J148" s="24">
        <v>38.057459999999999</v>
      </c>
      <c r="K148" s="128">
        <f t="shared" si="76"/>
        <v>11842.458919999999</v>
      </c>
      <c r="L148" s="17">
        <f t="shared" si="73"/>
        <v>1.1632892364061431</v>
      </c>
      <c r="M148" s="24">
        <v>11880.516379999999</v>
      </c>
      <c r="N148" s="24">
        <v>38.057459999999999</v>
      </c>
      <c r="O148" s="128">
        <f t="shared" si="77"/>
        <v>11842.458919999999</v>
      </c>
      <c r="P148" s="128">
        <f t="shared" si="71"/>
        <v>1.1632892364061431</v>
      </c>
      <c r="Q148" s="24">
        <v>12810</v>
      </c>
      <c r="R148" s="24">
        <v>0</v>
      </c>
      <c r="S148" s="128">
        <f t="shared" si="78"/>
        <v>12810</v>
      </c>
      <c r="T148" s="24">
        <f>920+130.13573</f>
        <v>1050.13573</v>
      </c>
      <c r="U148" s="24"/>
      <c r="V148" s="128">
        <f t="shared" si="79"/>
        <v>1050.13573</v>
      </c>
    </row>
    <row r="149" spans="1:22" x14ac:dyDescent="0.25">
      <c r="A149" s="78"/>
      <c r="B149" s="80" t="s">
        <v>171</v>
      </c>
      <c r="C149" s="24">
        <v>46.137569999999997</v>
      </c>
      <c r="D149" s="24">
        <v>0</v>
      </c>
      <c r="E149" s="128">
        <f t="shared" si="74"/>
        <v>46.137569999999997</v>
      </c>
      <c r="F149" s="112">
        <v>140</v>
      </c>
      <c r="G149" s="112">
        <v>0</v>
      </c>
      <c r="H149" s="128">
        <f t="shared" si="75"/>
        <v>140</v>
      </c>
      <c r="I149" s="24">
        <v>36.06521</v>
      </c>
      <c r="J149" s="24">
        <v>0</v>
      </c>
      <c r="K149" s="128">
        <f t="shared" si="76"/>
        <v>36.06521</v>
      </c>
      <c r="L149" s="17">
        <f t="shared" si="73"/>
        <v>0.78168854579900937</v>
      </c>
      <c r="M149" s="24">
        <v>36.065199999999997</v>
      </c>
      <c r="N149" s="24"/>
      <c r="O149" s="128">
        <f t="shared" si="77"/>
        <v>36.065199999999997</v>
      </c>
      <c r="P149" s="128">
        <f t="shared" si="71"/>
        <v>0.78168832905590824</v>
      </c>
      <c r="Q149" s="24">
        <v>135</v>
      </c>
      <c r="R149" s="24">
        <v>0</v>
      </c>
      <c r="S149" s="128">
        <f t="shared" si="78"/>
        <v>135</v>
      </c>
      <c r="T149" s="24"/>
      <c r="U149" s="24"/>
      <c r="V149" s="128">
        <f t="shared" si="79"/>
        <v>0</v>
      </c>
    </row>
    <row r="150" spans="1:22" x14ac:dyDescent="0.25">
      <c r="A150" s="78"/>
      <c r="B150" s="80" t="s">
        <v>172</v>
      </c>
      <c r="C150" s="24"/>
      <c r="D150" s="24"/>
      <c r="E150" s="128">
        <f t="shared" si="74"/>
        <v>0</v>
      </c>
      <c r="F150" s="112"/>
      <c r="G150" s="112"/>
      <c r="H150" s="128">
        <f t="shared" si="75"/>
        <v>0</v>
      </c>
      <c r="I150" s="24"/>
      <c r="J150" s="24"/>
      <c r="K150" s="128">
        <f t="shared" si="76"/>
        <v>0</v>
      </c>
      <c r="L150" s="17" t="e">
        <f t="shared" si="73"/>
        <v>#DIV/0!</v>
      </c>
      <c r="M150" s="24"/>
      <c r="N150" s="24"/>
      <c r="O150" s="128">
        <f t="shared" si="77"/>
        <v>0</v>
      </c>
      <c r="P150" s="128" t="e">
        <f t="shared" si="71"/>
        <v>#DIV/0!</v>
      </c>
      <c r="Q150" s="24"/>
      <c r="R150" s="24"/>
      <c r="S150" s="128">
        <f t="shared" si="78"/>
        <v>0</v>
      </c>
      <c r="T150" s="24"/>
      <c r="U150" s="24"/>
      <c r="V150" s="128">
        <f t="shared" si="79"/>
        <v>0</v>
      </c>
    </row>
    <row r="151" spans="1:22" x14ac:dyDescent="0.25">
      <c r="A151" s="78"/>
      <c r="B151" s="81" t="s">
        <v>173</v>
      </c>
      <c r="C151" s="25">
        <f>SUM(C137:C150)</f>
        <v>3747292.3447799999</v>
      </c>
      <c r="D151" s="25">
        <f t="shared" ref="D151:V151" si="80">SUM(D137:D150)</f>
        <v>2187765.0036299997</v>
      </c>
      <c r="E151" s="26">
        <f t="shared" si="80"/>
        <v>1559527.34115</v>
      </c>
      <c r="F151" s="25">
        <f t="shared" si="80"/>
        <v>4109661.7452000002</v>
      </c>
      <c r="G151" s="25">
        <f t="shared" si="80"/>
        <v>2473144.59968</v>
      </c>
      <c r="H151" s="25">
        <f t="shared" si="80"/>
        <v>1636517.14552</v>
      </c>
      <c r="I151" s="25">
        <f t="shared" si="80"/>
        <v>4146774.41322</v>
      </c>
      <c r="J151" s="25">
        <f t="shared" si="80"/>
        <v>2417031.4392000004</v>
      </c>
      <c r="K151" s="25">
        <f t="shared" si="80"/>
        <v>1729742.9740199996</v>
      </c>
      <c r="L151" s="17">
        <f t="shared" si="73"/>
        <v>1.109145654826726</v>
      </c>
      <c r="M151" s="25">
        <f t="shared" si="80"/>
        <v>3908516.3406400001</v>
      </c>
      <c r="N151" s="25">
        <f t="shared" si="80"/>
        <v>2243567.9906789996</v>
      </c>
      <c r="O151" s="25">
        <f t="shared" si="80"/>
        <v>1664948.3499609998</v>
      </c>
      <c r="P151" s="25">
        <f t="shared" si="71"/>
        <v>1.0675980510436336</v>
      </c>
      <c r="Q151" s="25">
        <f t="shared" si="80"/>
        <v>5298167.4686200004</v>
      </c>
      <c r="R151" s="25">
        <f t="shared" si="80"/>
        <v>2853299.1055099997</v>
      </c>
      <c r="S151" s="25">
        <f t="shared" si="80"/>
        <v>2444868.3631100003</v>
      </c>
      <c r="T151" s="25">
        <f t="shared" si="80"/>
        <v>124542.02608</v>
      </c>
      <c r="U151" s="25">
        <f t="shared" si="80"/>
        <v>52371.532339999998</v>
      </c>
      <c r="V151" s="25">
        <f t="shared" si="80"/>
        <v>72170.493739999991</v>
      </c>
    </row>
    <row r="152" spans="1:22" x14ac:dyDescent="0.25">
      <c r="A152" s="78"/>
      <c r="B152" s="81" t="s">
        <v>174</v>
      </c>
      <c r="C152" s="130">
        <f t="shared" ref="C152:K152" si="81">C105-C151</f>
        <v>0</v>
      </c>
      <c r="D152" s="130">
        <f t="shared" si="81"/>
        <v>0</v>
      </c>
      <c r="E152" s="130">
        <f t="shared" si="81"/>
        <v>0</v>
      </c>
      <c r="F152" s="25">
        <f t="shared" si="81"/>
        <v>0</v>
      </c>
      <c r="G152" s="25">
        <f t="shared" si="81"/>
        <v>0</v>
      </c>
      <c r="H152" s="25">
        <f t="shared" si="81"/>
        <v>0</v>
      </c>
      <c r="I152" s="25">
        <f t="shared" si="81"/>
        <v>0</v>
      </c>
      <c r="J152" s="25">
        <f t="shared" si="81"/>
        <v>0</v>
      </c>
      <c r="K152" s="25">
        <f t="shared" si="81"/>
        <v>0</v>
      </c>
      <c r="L152" s="131"/>
      <c r="M152" s="25">
        <f t="shared" ref="M152:V152" si="82">M105-M151</f>
        <v>0</v>
      </c>
      <c r="N152" s="25">
        <f t="shared" si="82"/>
        <v>-2.3138999938964844E-2</v>
      </c>
      <c r="O152" s="25">
        <f t="shared" si="82"/>
        <v>2.3139000637456775E-2</v>
      </c>
      <c r="P152" s="25" t="e">
        <f t="shared" si="71"/>
        <v>#DIV/0!</v>
      </c>
      <c r="Q152" s="25">
        <f t="shared" si="82"/>
        <v>2.9999999329447746E-2</v>
      </c>
      <c r="R152" s="25">
        <f t="shared" si="82"/>
        <v>0</v>
      </c>
      <c r="S152" s="25">
        <f t="shared" si="82"/>
        <v>2.9999999795109034E-2</v>
      </c>
      <c r="T152" s="25">
        <f t="shared" si="82"/>
        <v>-2.607999999599997E-2</v>
      </c>
      <c r="U152" s="25">
        <f t="shared" si="82"/>
        <v>0.46766000000206986</v>
      </c>
      <c r="V152" s="25">
        <f t="shared" si="82"/>
        <v>-0.49373999999079388</v>
      </c>
    </row>
    <row r="153" spans="1:22" x14ac:dyDescent="0.25">
      <c r="A153" s="73" t="s">
        <v>175</v>
      </c>
      <c r="B153" s="82" t="s">
        <v>176</v>
      </c>
      <c r="C153" s="132"/>
      <c r="D153" s="132"/>
      <c r="E153" s="133"/>
      <c r="F153" s="134"/>
      <c r="G153" s="134"/>
      <c r="H153" s="134"/>
      <c r="I153" s="134"/>
      <c r="J153" s="134"/>
      <c r="K153" s="134"/>
      <c r="L153" s="131"/>
      <c r="M153" s="135"/>
      <c r="N153" s="134"/>
      <c r="O153" s="134"/>
      <c r="P153" s="134" t="e">
        <f t="shared" si="71"/>
        <v>#DIV/0!</v>
      </c>
      <c r="Q153" s="135"/>
      <c r="R153" s="134"/>
      <c r="S153" s="134"/>
      <c r="T153" s="135"/>
      <c r="U153" s="134"/>
      <c r="V153" s="134"/>
    </row>
    <row r="154" spans="1:22" x14ac:dyDescent="0.25">
      <c r="A154" s="13" t="s">
        <v>177</v>
      </c>
      <c r="B154" s="23" t="s">
        <v>178</v>
      </c>
      <c r="C154" s="132" t="s">
        <v>179</v>
      </c>
      <c r="D154" s="133" t="s">
        <v>179</v>
      </c>
      <c r="E154" s="133" t="s">
        <v>179</v>
      </c>
      <c r="F154" s="134" t="s">
        <v>179</v>
      </c>
      <c r="G154" s="134" t="s">
        <v>179</v>
      </c>
      <c r="H154" s="134" t="s">
        <v>179</v>
      </c>
      <c r="I154" s="134" t="s">
        <v>179</v>
      </c>
      <c r="J154" s="134" t="s">
        <v>179</v>
      </c>
      <c r="K154" s="131" t="s">
        <v>179</v>
      </c>
      <c r="L154" s="132" t="s">
        <v>179</v>
      </c>
      <c r="M154" s="133" t="s">
        <v>179</v>
      </c>
      <c r="N154" s="133" t="s">
        <v>179</v>
      </c>
      <c r="O154" s="132" t="s">
        <v>179</v>
      </c>
      <c r="P154" s="132"/>
      <c r="Q154" s="132" t="s">
        <v>179</v>
      </c>
      <c r="R154" s="132" t="s">
        <v>179</v>
      </c>
      <c r="S154" s="132" t="s">
        <v>179</v>
      </c>
      <c r="T154" s="132" t="s">
        <v>179</v>
      </c>
      <c r="U154" s="134" t="s">
        <v>179</v>
      </c>
      <c r="V154" s="134" t="s">
        <v>179</v>
      </c>
    </row>
    <row r="155" spans="1:22" x14ac:dyDescent="0.25">
      <c r="A155" s="13"/>
      <c r="B155" s="32" t="s">
        <v>180</v>
      </c>
      <c r="C155" s="33">
        <v>186176.24</v>
      </c>
      <c r="D155" s="33">
        <v>166970.49</v>
      </c>
      <c r="E155" s="34">
        <f t="shared" ref="E155:E156" si="83">C155-D155</f>
        <v>19205.75</v>
      </c>
      <c r="F155" s="24">
        <v>68417.955950000003</v>
      </c>
      <c r="G155" s="33">
        <v>48840.28</v>
      </c>
      <c r="H155" s="34">
        <f t="shared" ref="H155:H156" si="84">F155-G155</f>
        <v>19577.675950000004</v>
      </c>
      <c r="I155" s="33">
        <v>78244.37</v>
      </c>
      <c r="J155" s="33">
        <v>58666.69</v>
      </c>
      <c r="K155" s="34">
        <f t="shared" ref="K155:K156" si="85">I155-J155</f>
        <v>19577.679999999993</v>
      </c>
      <c r="L155" s="35">
        <f>K155/E155</f>
        <v>1.0193655545865168</v>
      </c>
      <c r="M155" s="33">
        <v>77535.600000000006</v>
      </c>
      <c r="N155" s="33">
        <v>58023.42</v>
      </c>
      <c r="O155" s="34">
        <f t="shared" ref="O155:O156" si="86">M155-N155</f>
        <v>19512.180000000008</v>
      </c>
      <c r="P155" s="34">
        <f>O155/E155</f>
        <v>1.0159551176080084</v>
      </c>
      <c r="Q155" s="33">
        <v>126643.5</v>
      </c>
      <c r="R155" s="33">
        <v>58503.75677</v>
      </c>
      <c r="S155" s="34">
        <f t="shared" ref="S155:S156" si="87">Q155-R155</f>
        <v>68139.743229999993</v>
      </c>
      <c r="T155" s="33">
        <v>1455</v>
      </c>
      <c r="U155" s="33"/>
      <c r="V155" s="34">
        <f t="shared" ref="V155:V156" si="88">T155-U155</f>
        <v>1455</v>
      </c>
    </row>
    <row r="156" spans="1:22" x14ac:dyDescent="0.25">
      <c r="A156" s="13"/>
      <c r="B156" s="83" t="s">
        <v>181</v>
      </c>
      <c r="C156" s="33">
        <v>185563.35</v>
      </c>
      <c r="D156" s="33">
        <v>166970.49</v>
      </c>
      <c r="E156" s="34">
        <f t="shared" si="83"/>
        <v>18592.860000000015</v>
      </c>
      <c r="F156" s="24">
        <f>F155</f>
        <v>68417.955950000003</v>
      </c>
      <c r="G156" s="33">
        <f>G155</f>
        <v>48840.28</v>
      </c>
      <c r="H156" s="34">
        <f t="shared" si="84"/>
        <v>19577.675950000004</v>
      </c>
      <c r="I156" s="33">
        <v>78857.259999999995</v>
      </c>
      <c r="J156" s="33">
        <v>58666.69</v>
      </c>
      <c r="K156" s="34">
        <f t="shared" si="85"/>
        <v>20190.569999999992</v>
      </c>
      <c r="L156" s="35">
        <f>K156/E156</f>
        <v>1.0859313736563379</v>
      </c>
      <c r="M156" s="33">
        <v>78148.490000000005</v>
      </c>
      <c r="N156" s="33">
        <v>58023.42</v>
      </c>
      <c r="O156" s="34">
        <f t="shared" si="86"/>
        <v>20125.070000000007</v>
      </c>
      <c r="P156" s="34">
        <f>O156/E156</f>
        <v>1.0824085159572003</v>
      </c>
      <c r="Q156" s="33">
        <v>126643.5</v>
      </c>
      <c r="R156" s="33">
        <v>58503.75677</v>
      </c>
      <c r="S156" s="34">
        <f t="shared" si="87"/>
        <v>68139.743229999993</v>
      </c>
      <c r="T156" s="33">
        <v>0</v>
      </c>
      <c r="U156" s="33"/>
      <c r="V156" s="34">
        <f t="shared" si="88"/>
        <v>0</v>
      </c>
    </row>
    <row r="157" spans="1:22" x14ac:dyDescent="0.25">
      <c r="A157" s="13" t="s">
        <v>182</v>
      </c>
      <c r="B157" s="84" t="s">
        <v>183</v>
      </c>
      <c r="C157" s="136">
        <f>C158</f>
        <v>43160</v>
      </c>
      <c r="D157" s="132" t="s">
        <v>179</v>
      </c>
      <c r="E157" s="133" t="s">
        <v>179</v>
      </c>
      <c r="F157" s="134" t="s">
        <v>179</v>
      </c>
      <c r="G157" s="134" t="s">
        <v>179</v>
      </c>
      <c r="H157" s="134" t="s">
        <v>179</v>
      </c>
      <c r="I157" s="134" t="s">
        <v>179</v>
      </c>
      <c r="J157" s="134" t="s">
        <v>179</v>
      </c>
      <c r="K157" s="134" t="s">
        <v>179</v>
      </c>
      <c r="L157" s="131" t="s">
        <v>179</v>
      </c>
      <c r="M157" s="135">
        <f>M158+M159+M160</f>
        <v>32370</v>
      </c>
      <c r="N157" s="134" t="s">
        <v>179</v>
      </c>
      <c r="O157" s="134" t="s">
        <v>179</v>
      </c>
      <c r="P157" s="134"/>
      <c r="Q157" s="135">
        <f>Q158+Q159+Q160</f>
        <v>32370</v>
      </c>
      <c r="R157" s="134" t="s">
        <v>179</v>
      </c>
      <c r="S157" s="134" t="s">
        <v>179</v>
      </c>
      <c r="T157" s="135">
        <f>T158+T159+T160</f>
        <v>21580</v>
      </c>
      <c r="U157" s="134" t="s">
        <v>179</v>
      </c>
      <c r="V157" s="134" t="s">
        <v>179</v>
      </c>
    </row>
    <row r="158" spans="1:22" x14ac:dyDescent="0.25">
      <c r="A158" s="13"/>
      <c r="B158" s="84" t="s">
        <v>184</v>
      </c>
      <c r="C158" s="136">
        <v>43160</v>
      </c>
      <c r="D158" s="132" t="s">
        <v>179</v>
      </c>
      <c r="E158" s="133" t="s">
        <v>179</v>
      </c>
      <c r="F158" s="134" t="s">
        <v>179</v>
      </c>
      <c r="G158" s="134" t="s">
        <v>179</v>
      </c>
      <c r="H158" s="134" t="s">
        <v>179</v>
      </c>
      <c r="I158" s="134" t="s">
        <v>179</v>
      </c>
      <c r="J158" s="134" t="s">
        <v>179</v>
      </c>
      <c r="K158" s="134" t="s">
        <v>179</v>
      </c>
      <c r="L158" s="131" t="s">
        <v>179</v>
      </c>
      <c r="M158" s="135">
        <v>32370</v>
      </c>
      <c r="N158" s="134" t="s">
        <v>179</v>
      </c>
      <c r="O158" s="134" t="s">
        <v>179</v>
      </c>
      <c r="P158" s="134"/>
      <c r="Q158" s="135">
        <v>32370</v>
      </c>
      <c r="R158" s="134" t="s">
        <v>179</v>
      </c>
      <c r="S158" s="134" t="s">
        <v>179</v>
      </c>
      <c r="T158" s="24">
        <f>Q158+T114</f>
        <v>21580</v>
      </c>
      <c r="U158" s="134" t="s">
        <v>179</v>
      </c>
      <c r="V158" s="134" t="s">
        <v>179</v>
      </c>
    </row>
    <row r="159" spans="1:22" x14ac:dyDescent="0.25">
      <c r="A159" s="13"/>
      <c r="B159" s="84" t="s">
        <v>185</v>
      </c>
      <c r="C159" s="136"/>
      <c r="D159" s="132" t="s">
        <v>179</v>
      </c>
      <c r="E159" s="133" t="s">
        <v>179</v>
      </c>
      <c r="F159" s="134" t="s">
        <v>179</v>
      </c>
      <c r="G159" s="134" t="s">
        <v>179</v>
      </c>
      <c r="H159" s="134" t="s">
        <v>179</v>
      </c>
      <c r="I159" s="134" t="s">
        <v>179</v>
      </c>
      <c r="J159" s="134" t="s">
        <v>179</v>
      </c>
      <c r="K159" s="134" t="s">
        <v>179</v>
      </c>
      <c r="L159" s="131" t="s">
        <v>179</v>
      </c>
      <c r="M159" s="135"/>
      <c r="N159" s="134" t="s">
        <v>179</v>
      </c>
      <c r="O159" s="134" t="s">
        <v>179</v>
      </c>
      <c r="P159" s="134"/>
      <c r="Q159" s="135"/>
      <c r="R159" s="134" t="s">
        <v>179</v>
      </c>
      <c r="S159" s="134" t="s">
        <v>179</v>
      </c>
      <c r="T159" s="135"/>
      <c r="U159" s="134" t="s">
        <v>179</v>
      </c>
      <c r="V159" s="134" t="s">
        <v>179</v>
      </c>
    </row>
    <row r="160" spans="1:22" x14ac:dyDescent="0.25">
      <c r="A160" s="13"/>
      <c r="B160" s="84" t="s">
        <v>186</v>
      </c>
      <c r="C160" s="136"/>
      <c r="D160" s="132" t="s">
        <v>179</v>
      </c>
      <c r="E160" s="133" t="s">
        <v>179</v>
      </c>
      <c r="F160" s="134" t="s">
        <v>179</v>
      </c>
      <c r="G160" s="134" t="s">
        <v>179</v>
      </c>
      <c r="H160" s="134" t="s">
        <v>179</v>
      </c>
      <c r="I160" s="134" t="s">
        <v>179</v>
      </c>
      <c r="J160" s="134" t="s">
        <v>179</v>
      </c>
      <c r="K160" s="134" t="s">
        <v>179</v>
      </c>
      <c r="L160" s="131" t="s">
        <v>179</v>
      </c>
      <c r="M160" s="135"/>
      <c r="N160" s="134" t="s">
        <v>179</v>
      </c>
      <c r="O160" s="134" t="s">
        <v>179</v>
      </c>
      <c r="P160" s="134"/>
      <c r="Q160" s="135"/>
      <c r="R160" s="134" t="s">
        <v>179</v>
      </c>
      <c r="S160" s="134" t="s">
        <v>179</v>
      </c>
      <c r="T160" s="135"/>
      <c r="U160" s="134" t="s">
        <v>179</v>
      </c>
      <c r="V160" s="134" t="s">
        <v>179</v>
      </c>
    </row>
    <row r="161" spans="1:22" ht="56.25" customHeight="1" x14ac:dyDescent="0.25">
      <c r="A161" s="13" t="s">
        <v>187</v>
      </c>
      <c r="B161" s="85" t="s">
        <v>205</v>
      </c>
      <c r="C161" s="111">
        <v>80.8</v>
      </c>
      <c r="D161" s="132" t="s">
        <v>179</v>
      </c>
      <c r="E161" s="133" t="s">
        <v>179</v>
      </c>
      <c r="F161" s="136">
        <v>95.95</v>
      </c>
      <c r="G161" s="134" t="s">
        <v>179</v>
      </c>
      <c r="H161" s="134" t="s">
        <v>179</v>
      </c>
      <c r="I161" s="136">
        <v>95.95</v>
      </c>
      <c r="J161" s="134" t="s">
        <v>179</v>
      </c>
      <c r="K161" s="134" t="s">
        <v>179</v>
      </c>
      <c r="L161" s="131">
        <f t="shared" ref="L161:L170" si="89">I161/C161</f>
        <v>1.1875</v>
      </c>
      <c r="M161" s="136">
        <v>80.849999999999994</v>
      </c>
      <c r="N161" s="134" t="s">
        <v>179</v>
      </c>
      <c r="O161" s="134" t="s">
        <v>179</v>
      </c>
      <c r="P161" s="134"/>
      <c r="Q161" s="136">
        <v>82.75</v>
      </c>
      <c r="R161" s="134" t="s">
        <v>179</v>
      </c>
      <c r="S161" s="134" t="s">
        <v>179</v>
      </c>
      <c r="T161" s="136">
        <f>M161+3</f>
        <v>83.85</v>
      </c>
      <c r="U161" s="134" t="s">
        <v>179</v>
      </c>
      <c r="V161" s="134" t="s">
        <v>179</v>
      </c>
    </row>
    <row r="162" spans="1:22" ht="63.75" x14ac:dyDescent="0.25">
      <c r="A162" s="13"/>
      <c r="B162" s="85" t="s">
        <v>206</v>
      </c>
      <c r="C162" s="111">
        <v>114.65</v>
      </c>
      <c r="D162" s="132" t="s">
        <v>179</v>
      </c>
      <c r="E162" s="133" t="s">
        <v>179</v>
      </c>
      <c r="F162" s="136">
        <f>122.85-1.35</f>
        <v>121.5</v>
      </c>
      <c r="G162" s="134" t="s">
        <v>179</v>
      </c>
      <c r="H162" s="134" t="s">
        <v>179</v>
      </c>
      <c r="I162" s="136">
        <f>113.5+8</f>
        <v>121.5</v>
      </c>
      <c r="J162" s="134" t="s">
        <v>179</v>
      </c>
      <c r="K162" s="134" t="s">
        <v>179</v>
      </c>
      <c r="L162" s="131">
        <f t="shared" si="89"/>
        <v>1.059747056258177</v>
      </c>
      <c r="M162" s="136">
        <f>101.3+8</f>
        <v>109.3</v>
      </c>
      <c r="N162" s="134" t="s">
        <v>179</v>
      </c>
      <c r="O162" s="134" t="s">
        <v>179</v>
      </c>
      <c r="P162" s="134"/>
      <c r="Q162" s="136">
        <v>121.7</v>
      </c>
      <c r="R162" s="134" t="s">
        <v>179</v>
      </c>
      <c r="S162" s="134" t="s">
        <v>179</v>
      </c>
      <c r="T162" s="136">
        <f>M162+2</f>
        <v>111.3</v>
      </c>
      <c r="U162" s="134" t="s">
        <v>179</v>
      </c>
      <c r="V162" s="134" t="s">
        <v>179</v>
      </c>
    </row>
    <row r="163" spans="1:22" ht="54" customHeight="1" x14ac:dyDescent="0.25">
      <c r="A163" s="13"/>
      <c r="B163" s="85" t="s">
        <v>207</v>
      </c>
      <c r="C163" s="111">
        <v>2072.9299999999998</v>
      </c>
      <c r="D163" s="132" t="s">
        <v>179</v>
      </c>
      <c r="E163" s="133" t="s">
        <v>179</v>
      </c>
      <c r="F163" s="136">
        <v>2232.44</v>
      </c>
      <c r="G163" s="134" t="s">
        <v>179</v>
      </c>
      <c r="H163" s="134" t="s">
        <v>179</v>
      </c>
      <c r="I163" s="136">
        <v>2033.46</v>
      </c>
      <c r="J163" s="134" t="s">
        <v>179</v>
      </c>
      <c r="K163" s="134" t="s">
        <v>179</v>
      </c>
      <c r="L163" s="131">
        <f t="shared" si="89"/>
        <v>0.98095931845262507</v>
      </c>
      <c r="M163" s="136">
        <v>1816.6</v>
      </c>
      <c r="N163" s="134" t="s">
        <v>179</v>
      </c>
      <c r="O163" s="134" t="s">
        <v>179</v>
      </c>
      <c r="P163" s="134"/>
      <c r="Q163" s="136">
        <v>2045.46</v>
      </c>
      <c r="R163" s="134" t="s">
        <v>179</v>
      </c>
      <c r="S163" s="134" t="s">
        <v>179</v>
      </c>
      <c r="T163" s="136">
        <f>M163+4</f>
        <v>1820.6</v>
      </c>
      <c r="U163" s="134" t="s">
        <v>179</v>
      </c>
      <c r="V163" s="134" t="s">
        <v>179</v>
      </c>
    </row>
    <row r="164" spans="1:22" ht="60.75" customHeight="1" x14ac:dyDescent="0.25">
      <c r="A164" s="13"/>
      <c r="B164" s="85" t="s">
        <v>208</v>
      </c>
      <c r="C164" s="111">
        <v>7</v>
      </c>
      <c r="D164" s="132" t="s">
        <v>179</v>
      </c>
      <c r="E164" s="133" t="s">
        <v>179</v>
      </c>
      <c r="F164" s="136">
        <v>10</v>
      </c>
      <c r="G164" s="134" t="s">
        <v>179</v>
      </c>
      <c r="H164" s="134" t="s">
        <v>179</v>
      </c>
      <c r="I164" s="136">
        <v>10</v>
      </c>
      <c r="J164" s="134" t="s">
        <v>179</v>
      </c>
      <c r="K164" s="134" t="s">
        <v>179</v>
      </c>
      <c r="L164" s="131">
        <f t="shared" si="89"/>
        <v>1.4285714285714286</v>
      </c>
      <c r="M164" s="136">
        <v>7</v>
      </c>
      <c r="N164" s="134" t="s">
        <v>179</v>
      </c>
      <c r="O164" s="134" t="s">
        <v>179</v>
      </c>
      <c r="P164" s="134"/>
      <c r="Q164" s="136">
        <v>10</v>
      </c>
      <c r="R164" s="134" t="s">
        <v>179</v>
      </c>
      <c r="S164" s="134" t="s">
        <v>179</v>
      </c>
      <c r="T164" s="136">
        <v>7</v>
      </c>
      <c r="U164" s="134" t="s">
        <v>179</v>
      </c>
      <c r="V164" s="134" t="s">
        <v>179</v>
      </c>
    </row>
    <row r="165" spans="1:22" s="108" customFormat="1" ht="21" customHeight="1" x14ac:dyDescent="0.25">
      <c r="A165" s="13"/>
      <c r="B165" s="86" t="s">
        <v>204</v>
      </c>
      <c r="C165" s="132">
        <f>C161+C162+C163+C164</f>
        <v>2275.3799999999997</v>
      </c>
      <c r="D165" s="132" t="s">
        <v>179</v>
      </c>
      <c r="E165" s="132" t="s">
        <v>179</v>
      </c>
      <c r="F165" s="132">
        <f>F161+F162+F163+F164</f>
        <v>2459.89</v>
      </c>
      <c r="G165" s="132" t="s">
        <v>179</v>
      </c>
      <c r="H165" s="132" t="s">
        <v>179</v>
      </c>
      <c r="I165" s="139">
        <f>I161+I162+I163+I164</f>
        <v>2260.91</v>
      </c>
      <c r="J165" s="134" t="s">
        <v>179</v>
      </c>
      <c r="K165" s="134" t="s">
        <v>179</v>
      </c>
      <c r="L165" s="131">
        <f t="shared" si="89"/>
        <v>0.99364062266522524</v>
      </c>
      <c r="M165" s="132">
        <f>M161+M162+M163+M164</f>
        <v>2013.75</v>
      </c>
      <c r="N165" s="134" t="s">
        <v>179</v>
      </c>
      <c r="O165" s="134" t="s">
        <v>179</v>
      </c>
      <c r="P165" s="134"/>
      <c r="Q165" s="132">
        <f>Q161+Q162+Q163+Q164</f>
        <v>2259.91</v>
      </c>
      <c r="R165" s="134" t="s">
        <v>179</v>
      </c>
      <c r="S165" s="134" t="s">
        <v>179</v>
      </c>
      <c r="T165" s="138">
        <f>T161+T162+T163+T164</f>
        <v>2022.75</v>
      </c>
      <c r="U165" s="134" t="s">
        <v>179</v>
      </c>
      <c r="V165" s="134" t="s">
        <v>179</v>
      </c>
    </row>
    <row r="166" spans="1:22" ht="23.25" customHeight="1" x14ac:dyDescent="0.25">
      <c r="A166" s="13" t="s">
        <v>188</v>
      </c>
      <c r="B166" s="86" t="s">
        <v>189</v>
      </c>
      <c r="C166" s="136">
        <f>C167+C169+C170+C168</f>
        <v>50</v>
      </c>
      <c r="D166" s="132" t="s">
        <v>179</v>
      </c>
      <c r="E166" s="133" t="s">
        <v>179</v>
      </c>
      <c r="F166" s="135">
        <f>F167+F169+F170+F168</f>
        <v>57</v>
      </c>
      <c r="G166" s="134" t="s">
        <v>179</v>
      </c>
      <c r="H166" s="134" t="s">
        <v>179</v>
      </c>
      <c r="I166" s="135">
        <f>I167+I169+I170+I168</f>
        <v>42</v>
      </c>
      <c r="J166" s="134" t="s">
        <v>179</v>
      </c>
      <c r="K166" s="134" t="s">
        <v>179</v>
      </c>
      <c r="L166" s="131">
        <f t="shared" si="89"/>
        <v>0.84</v>
      </c>
      <c r="M166" s="135">
        <f>M167+M169+M170+M168</f>
        <v>41</v>
      </c>
      <c r="N166" s="134" t="s">
        <v>179</v>
      </c>
      <c r="O166" s="134" t="s">
        <v>179</v>
      </c>
      <c r="P166" s="134"/>
      <c r="Q166" s="134" t="s">
        <v>179</v>
      </c>
      <c r="R166" s="134" t="s">
        <v>179</v>
      </c>
      <c r="S166" s="134" t="s">
        <v>179</v>
      </c>
      <c r="T166" s="135">
        <f>T167+T169+T170+T168</f>
        <v>41</v>
      </c>
      <c r="U166" s="134" t="s">
        <v>179</v>
      </c>
      <c r="V166" s="134" t="s">
        <v>179</v>
      </c>
    </row>
    <row r="167" spans="1:22" x14ac:dyDescent="0.25">
      <c r="A167" s="13"/>
      <c r="B167" s="86" t="s">
        <v>190</v>
      </c>
      <c r="C167" s="136">
        <v>7</v>
      </c>
      <c r="D167" s="132" t="s">
        <v>179</v>
      </c>
      <c r="E167" s="133" t="s">
        <v>179</v>
      </c>
      <c r="F167" s="137">
        <f>C167</f>
        <v>7</v>
      </c>
      <c r="G167" s="134" t="s">
        <v>179</v>
      </c>
      <c r="H167" s="134" t="s">
        <v>179</v>
      </c>
      <c r="I167" s="138">
        <v>7</v>
      </c>
      <c r="J167" s="134" t="s">
        <v>179</v>
      </c>
      <c r="K167" s="134" t="s">
        <v>179</v>
      </c>
      <c r="L167" s="131">
        <f t="shared" si="89"/>
        <v>1</v>
      </c>
      <c r="M167" s="135">
        <f>I167</f>
        <v>7</v>
      </c>
      <c r="N167" s="134" t="s">
        <v>179</v>
      </c>
      <c r="O167" s="134" t="s">
        <v>179</v>
      </c>
      <c r="P167" s="134"/>
      <c r="Q167" s="134" t="s">
        <v>179</v>
      </c>
      <c r="R167" s="134" t="s">
        <v>179</v>
      </c>
      <c r="S167" s="134" t="s">
        <v>179</v>
      </c>
      <c r="T167" s="138">
        <f>M167</f>
        <v>7</v>
      </c>
      <c r="U167" s="134" t="s">
        <v>179</v>
      </c>
      <c r="V167" s="134" t="s">
        <v>179</v>
      </c>
    </row>
    <row r="168" spans="1:22" x14ac:dyDescent="0.25">
      <c r="A168" s="13"/>
      <c r="B168" s="86" t="s">
        <v>191</v>
      </c>
      <c r="C168" s="136">
        <v>4</v>
      </c>
      <c r="D168" s="132" t="s">
        <v>179</v>
      </c>
      <c r="E168" s="133" t="s">
        <v>179</v>
      </c>
      <c r="F168" s="137">
        <f>C168</f>
        <v>4</v>
      </c>
      <c r="G168" s="134" t="s">
        <v>179</v>
      </c>
      <c r="H168" s="134" t="s">
        <v>179</v>
      </c>
      <c r="I168" s="138">
        <v>4</v>
      </c>
      <c r="J168" s="134" t="s">
        <v>179</v>
      </c>
      <c r="K168" s="134" t="s">
        <v>179</v>
      </c>
      <c r="L168" s="131">
        <f t="shared" si="89"/>
        <v>1</v>
      </c>
      <c r="M168" s="135">
        <v>3</v>
      </c>
      <c r="N168" s="134" t="s">
        <v>179</v>
      </c>
      <c r="O168" s="134" t="s">
        <v>179</v>
      </c>
      <c r="P168" s="134"/>
      <c r="Q168" s="134" t="s">
        <v>179</v>
      </c>
      <c r="R168" s="134" t="s">
        <v>179</v>
      </c>
      <c r="S168" s="134" t="s">
        <v>179</v>
      </c>
      <c r="T168" s="138">
        <v>3</v>
      </c>
      <c r="U168" s="134" t="s">
        <v>179</v>
      </c>
      <c r="V168" s="134" t="s">
        <v>179</v>
      </c>
    </row>
    <row r="169" spans="1:22" x14ac:dyDescent="0.25">
      <c r="A169" s="13"/>
      <c r="B169" s="86" t="s">
        <v>192</v>
      </c>
      <c r="C169" s="136">
        <v>38</v>
      </c>
      <c r="D169" s="132" t="s">
        <v>179</v>
      </c>
      <c r="E169" s="133" t="s">
        <v>179</v>
      </c>
      <c r="F169" s="137">
        <f>14+10+2+1+1+5+3+2+1+1+1+3+1</f>
        <v>45</v>
      </c>
      <c r="G169" s="134" t="s">
        <v>179</v>
      </c>
      <c r="H169" s="134" t="s">
        <v>179</v>
      </c>
      <c r="I169" s="138">
        <f>F169-1-5-1-2-1-2-2-1</f>
        <v>30</v>
      </c>
      <c r="J169" s="134" t="s">
        <v>179</v>
      </c>
      <c r="K169" s="134" t="s">
        <v>179</v>
      </c>
      <c r="L169" s="131">
        <f t="shared" si="89"/>
        <v>0.78947368421052633</v>
      </c>
      <c r="M169" s="135">
        <f>I169</f>
        <v>30</v>
      </c>
      <c r="N169" s="134" t="s">
        <v>179</v>
      </c>
      <c r="O169" s="134" t="s">
        <v>179</v>
      </c>
      <c r="P169" s="134"/>
      <c r="Q169" s="134" t="s">
        <v>179</v>
      </c>
      <c r="R169" s="134" t="s">
        <v>179</v>
      </c>
      <c r="S169" s="134" t="s">
        <v>179</v>
      </c>
      <c r="T169" s="138">
        <f>M169</f>
        <v>30</v>
      </c>
      <c r="U169" s="134" t="s">
        <v>179</v>
      </c>
      <c r="V169" s="134" t="s">
        <v>179</v>
      </c>
    </row>
    <row r="170" spans="1:22" x14ac:dyDescent="0.25">
      <c r="A170" s="13"/>
      <c r="B170" s="72" t="s">
        <v>193</v>
      </c>
      <c r="C170" s="136">
        <v>1</v>
      </c>
      <c r="D170" s="132" t="s">
        <v>179</v>
      </c>
      <c r="E170" s="133" t="s">
        <v>179</v>
      </c>
      <c r="F170" s="137">
        <f>C170</f>
        <v>1</v>
      </c>
      <c r="G170" s="134" t="s">
        <v>179</v>
      </c>
      <c r="H170" s="134" t="s">
        <v>179</v>
      </c>
      <c r="I170" s="138">
        <v>1</v>
      </c>
      <c r="J170" s="134" t="s">
        <v>179</v>
      </c>
      <c r="K170" s="134" t="s">
        <v>179</v>
      </c>
      <c r="L170" s="131">
        <f t="shared" si="89"/>
        <v>1</v>
      </c>
      <c r="M170" s="138">
        <f>I170</f>
        <v>1</v>
      </c>
      <c r="N170" s="134" t="s">
        <v>179</v>
      </c>
      <c r="O170" s="134" t="s">
        <v>179</v>
      </c>
      <c r="P170" s="134"/>
      <c r="Q170" s="134" t="s">
        <v>179</v>
      </c>
      <c r="R170" s="134" t="s">
        <v>179</v>
      </c>
      <c r="S170" s="134" t="s">
        <v>179</v>
      </c>
      <c r="T170" s="138">
        <f>M170</f>
        <v>1</v>
      </c>
      <c r="U170" s="134" t="s">
        <v>179</v>
      </c>
      <c r="V170" s="134" t="s">
        <v>179</v>
      </c>
    </row>
    <row r="171" spans="1:22" ht="25.5" x14ac:dyDescent="0.25">
      <c r="A171" s="13" t="s">
        <v>194</v>
      </c>
      <c r="B171" s="30" t="s">
        <v>195</v>
      </c>
      <c r="C171" s="25">
        <f t="shared" ref="C171:K171" si="90">C56+C57+C70+C90+C91</f>
        <v>2086141.5120299999</v>
      </c>
      <c r="D171" s="25">
        <f t="shared" si="90"/>
        <v>1348024.8712599999</v>
      </c>
      <c r="E171" s="37">
        <f t="shared" si="90"/>
        <v>738116.64076999994</v>
      </c>
      <c r="F171" s="25">
        <f t="shared" si="90"/>
        <v>2021460.32381</v>
      </c>
      <c r="G171" s="25">
        <f t="shared" si="90"/>
        <v>1269952.9099999999</v>
      </c>
      <c r="H171" s="37">
        <f t="shared" si="90"/>
        <v>751507.41380999994</v>
      </c>
      <c r="I171" s="25">
        <f t="shared" si="90"/>
        <v>2246165.1545900004</v>
      </c>
      <c r="J171" s="25">
        <f t="shared" si="90"/>
        <v>1346211.72049</v>
      </c>
      <c r="K171" s="37">
        <f t="shared" si="90"/>
        <v>899953.43410000019</v>
      </c>
      <c r="L171" s="48">
        <f>K171/E171</f>
        <v>1.2192563944381105</v>
      </c>
      <c r="M171" s="25">
        <f t="shared" ref="M171:V171" si="91">M56+M57+M70+M90+M91</f>
        <v>2123270.1245800001</v>
      </c>
      <c r="N171" s="25">
        <f t="shared" si="91"/>
        <v>1233727.4434499999</v>
      </c>
      <c r="O171" s="37">
        <f t="shared" si="91"/>
        <v>889542.68112999992</v>
      </c>
      <c r="P171" s="37">
        <f>O171/E171</f>
        <v>1.2051519123075629</v>
      </c>
      <c r="Q171" s="25">
        <f t="shared" si="91"/>
        <v>2152796.8955399999</v>
      </c>
      <c r="R171" s="25">
        <f t="shared" si="91"/>
        <v>1021250.98844</v>
      </c>
      <c r="S171" s="37">
        <f t="shared" si="91"/>
        <v>1131545.9071000002</v>
      </c>
      <c r="T171" s="25">
        <f t="shared" si="91"/>
        <v>33985.56</v>
      </c>
      <c r="U171" s="25">
        <f t="shared" si="91"/>
        <v>13332.6</v>
      </c>
      <c r="V171" s="37">
        <f t="shared" si="91"/>
        <v>20652.96</v>
      </c>
    </row>
    <row r="172" spans="1:22" ht="25.5" x14ac:dyDescent="0.25">
      <c r="A172" s="13" t="s">
        <v>196</v>
      </c>
      <c r="B172" s="30" t="s">
        <v>197</v>
      </c>
      <c r="C172" s="25">
        <f>C60+C77+C94</f>
        <v>198063.91486999998</v>
      </c>
      <c r="D172" s="25">
        <f t="shared" ref="D172:V172" si="92">D60+D77+D94</f>
        <v>479.86693000000002</v>
      </c>
      <c r="E172" s="37">
        <f t="shared" si="92"/>
        <v>197584.04793999999</v>
      </c>
      <c r="F172" s="25">
        <f t="shared" si="92"/>
        <v>165313.45089000001</v>
      </c>
      <c r="G172" s="25">
        <f t="shared" si="92"/>
        <v>420.53089</v>
      </c>
      <c r="H172" s="37">
        <f t="shared" si="92"/>
        <v>164892.92000000001</v>
      </c>
      <c r="I172" s="25">
        <f t="shared" si="92"/>
        <v>265812.47229999996</v>
      </c>
      <c r="J172" s="25">
        <f t="shared" si="92"/>
        <v>0</v>
      </c>
      <c r="K172" s="37">
        <f t="shared" si="92"/>
        <v>265812.47229999996</v>
      </c>
      <c r="L172" s="48">
        <f>K172/E172</f>
        <v>1.3453134252048464</v>
      </c>
      <c r="M172" s="25">
        <f t="shared" si="92"/>
        <v>242088.00828999997</v>
      </c>
      <c r="N172" s="25">
        <f t="shared" si="92"/>
        <v>0</v>
      </c>
      <c r="O172" s="37">
        <f t="shared" si="92"/>
        <v>242088.00828999997</v>
      </c>
      <c r="P172" s="37">
        <f>O172/E172</f>
        <v>1.2252406548706525</v>
      </c>
      <c r="Q172" s="25">
        <f t="shared" si="92"/>
        <v>249228.18502999999</v>
      </c>
      <c r="R172" s="25">
        <f t="shared" si="92"/>
        <v>553.70126000000005</v>
      </c>
      <c r="S172" s="37">
        <f t="shared" si="92"/>
        <v>248674.48376999999</v>
      </c>
      <c r="T172" s="25">
        <f t="shared" si="92"/>
        <v>14885.85878</v>
      </c>
      <c r="U172" s="25">
        <f t="shared" si="92"/>
        <v>0</v>
      </c>
      <c r="V172" s="37">
        <f t="shared" si="92"/>
        <v>14885.85878</v>
      </c>
    </row>
    <row r="173" spans="1:22" ht="25.5" x14ac:dyDescent="0.25">
      <c r="A173" s="13" t="s">
        <v>198</v>
      </c>
      <c r="B173" s="30" t="s">
        <v>211</v>
      </c>
      <c r="C173" s="25">
        <f>C64+C98</f>
        <v>177283.85339</v>
      </c>
      <c r="D173" s="25">
        <f t="shared" ref="D173:V173" si="93">D64+D98</f>
        <v>159756.56203999999</v>
      </c>
      <c r="E173" s="25">
        <f t="shared" si="93"/>
        <v>17527.291350000014</v>
      </c>
      <c r="F173" s="25">
        <f t="shared" si="93"/>
        <v>755631.62448</v>
      </c>
      <c r="G173" s="25">
        <f t="shared" si="93"/>
        <v>754215.17038000003</v>
      </c>
      <c r="H173" s="25">
        <f t="shared" si="93"/>
        <v>1416.4540999999736</v>
      </c>
      <c r="I173" s="25">
        <f t="shared" si="93"/>
        <v>663100.57830000005</v>
      </c>
      <c r="J173" s="25">
        <f t="shared" si="93"/>
        <v>661681.30723999999</v>
      </c>
      <c r="K173" s="25">
        <f t="shared" si="93"/>
        <v>1419.2710600000573</v>
      </c>
      <c r="L173" s="48">
        <f>K173/E173</f>
        <v>8.0974922574106475E-2</v>
      </c>
      <c r="M173" s="25">
        <f t="shared" si="93"/>
        <v>503327.45221000002</v>
      </c>
      <c r="N173" s="25">
        <f t="shared" si="93"/>
        <v>501932.99387000001</v>
      </c>
      <c r="O173" s="25">
        <f t="shared" si="93"/>
        <v>1394.458340000012</v>
      </c>
      <c r="P173" s="25">
        <f>O173/E173</f>
        <v>7.9559260592767564E-2</v>
      </c>
      <c r="Q173" s="25">
        <f t="shared" si="93"/>
        <v>1412926.4654699999</v>
      </c>
      <c r="R173" s="25">
        <f t="shared" si="93"/>
        <v>1354273.14506</v>
      </c>
      <c r="S173" s="25">
        <f t="shared" si="93"/>
        <v>58653.320409999928</v>
      </c>
      <c r="T173" s="25">
        <f t="shared" si="93"/>
        <v>0</v>
      </c>
      <c r="U173" s="25">
        <f t="shared" si="93"/>
        <v>0</v>
      </c>
      <c r="V173" s="25">
        <f t="shared" si="93"/>
        <v>0</v>
      </c>
    </row>
    <row r="174" spans="1:22" s="99" customFormat="1" ht="166.5" customHeight="1" x14ac:dyDescent="0.25">
      <c r="A174" s="87" t="s">
        <v>198</v>
      </c>
      <c r="B174" s="106" t="s">
        <v>200</v>
      </c>
      <c r="C174" s="140">
        <f>D174+E174</f>
        <v>255862.29000000004</v>
      </c>
      <c r="D174" s="148">
        <f>10750.6+10522.9+10383.57+10427.07+9778.78+7451.11+5317.13+6175.56+8906.54+9458.29+18147.3+80</f>
        <v>107398.85000000002</v>
      </c>
      <c r="E174" s="148">
        <f>13746.4+12070.4+14174.2+13756.28+13076.14+11086.5+7803.78+8700.4+11889.38+13007.06+27677.9+1475</f>
        <v>148463.44</v>
      </c>
      <c r="F174" s="140">
        <f>G174+H174</f>
        <v>336783</v>
      </c>
      <c r="G174" s="140">
        <f>540+138121</f>
        <v>138661</v>
      </c>
      <c r="H174" s="140">
        <f>8260+189862</f>
        <v>198122</v>
      </c>
      <c r="I174" s="140">
        <f>J174+K174</f>
        <v>281238</v>
      </c>
      <c r="J174" s="140">
        <f>423+108790</f>
        <v>109213</v>
      </c>
      <c r="K174" s="140">
        <f>163317+8708</f>
        <v>172025</v>
      </c>
      <c r="L174" s="88"/>
      <c r="M174" s="140">
        <f>N174+O174</f>
        <v>281238</v>
      </c>
      <c r="N174" s="140">
        <f>423+108790</f>
        <v>109213</v>
      </c>
      <c r="O174" s="140">
        <f>163317+8708</f>
        <v>172025</v>
      </c>
      <c r="P174" s="140"/>
      <c r="Q174" s="141" t="s">
        <v>179</v>
      </c>
      <c r="R174" s="141" t="s">
        <v>179</v>
      </c>
      <c r="S174" s="141" t="s">
        <v>179</v>
      </c>
      <c r="T174" s="140">
        <v>0</v>
      </c>
      <c r="U174" s="140">
        <v>0</v>
      </c>
      <c r="V174" s="140">
        <v>0</v>
      </c>
    </row>
    <row r="175" spans="1:22" s="99" customFormat="1" ht="171" customHeight="1" x14ac:dyDescent="0.25">
      <c r="A175" s="87" t="s">
        <v>199</v>
      </c>
      <c r="B175" s="107" t="s">
        <v>201</v>
      </c>
      <c r="C175" s="142">
        <f>D175+E175</f>
        <v>701</v>
      </c>
      <c r="D175" s="148">
        <f>281+3</f>
        <v>284</v>
      </c>
      <c r="E175" s="148">
        <f>389+28</f>
        <v>417</v>
      </c>
      <c r="F175" s="140">
        <f>G175+H175</f>
        <v>763</v>
      </c>
      <c r="G175" s="143">
        <f>4+305</f>
        <v>309</v>
      </c>
      <c r="H175" s="143">
        <f>59+395</f>
        <v>454</v>
      </c>
      <c r="I175" s="142">
        <f>J175+K175</f>
        <v>695</v>
      </c>
      <c r="J175" s="142">
        <f>221+3</f>
        <v>224</v>
      </c>
      <c r="K175" s="140">
        <f>389+82</f>
        <v>471</v>
      </c>
      <c r="L175" s="89"/>
      <c r="M175" s="142">
        <f>N175+O175</f>
        <v>695</v>
      </c>
      <c r="N175" s="142">
        <f>221+3</f>
        <v>224</v>
      </c>
      <c r="O175" s="140">
        <f>389+82</f>
        <v>471</v>
      </c>
      <c r="P175" s="140"/>
      <c r="Q175" s="143" t="s">
        <v>179</v>
      </c>
      <c r="R175" s="143" t="s">
        <v>179</v>
      </c>
      <c r="S175" s="143" t="s">
        <v>179</v>
      </c>
      <c r="T175" s="142">
        <v>0</v>
      </c>
      <c r="U175" s="142">
        <v>0</v>
      </c>
      <c r="V175" s="140">
        <v>0</v>
      </c>
    </row>
    <row r="176" spans="1:22" s="99" customFormat="1" x14ac:dyDescent="0.25">
      <c r="B176" s="100"/>
      <c r="C176" s="101"/>
      <c r="D176" s="101"/>
      <c r="E176" s="102"/>
      <c r="F176" s="101"/>
      <c r="G176" s="101"/>
      <c r="H176" s="102"/>
      <c r="I176" s="101"/>
      <c r="J176" s="101"/>
      <c r="K176" s="102"/>
      <c r="L176" s="103"/>
      <c r="M176" s="101"/>
      <c r="N176" s="101"/>
      <c r="O176" s="102"/>
      <c r="P176" s="102"/>
      <c r="Q176" s="101"/>
      <c r="R176" s="101"/>
      <c r="S176" s="102"/>
      <c r="T176" s="101"/>
      <c r="U176" s="101"/>
      <c r="V176" s="102"/>
    </row>
    <row r="177" spans="2:22" s="99" customFormat="1" ht="15.75" x14ac:dyDescent="0.25">
      <c r="B177" s="90" t="s">
        <v>230</v>
      </c>
      <c r="C177" s="91"/>
      <c r="D177" s="91"/>
      <c r="E177" s="92"/>
      <c r="F177" s="93"/>
      <c r="G177" s="93"/>
      <c r="H177" s="93"/>
      <c r="I177" s="94"/>
      <c r="J177" s="94"/>
      <c r="K177" s="94"/>
      <c r="L177" s="95"/>
      <c r="M177" s="96"/>
      <c r="N177" s="96"/>
      <c r="O177" s="96"/>
      <c r="P177" s="96"/>
      <c r="Q177" s="96"/>
      <c r="R177" s="96"/>
      <c r="S177" s="96"/>
      <c r="T177" s="96"/>
      <c r="U177" s="96"/>
      <c r="V177" s="96"/>
    </row>
    <row r="178" spans="2:22" s="99" customFormat="1" ht="15.75" x14ac:dyDescent="0.25">
      <c r="B178" s="90"/>
      <c r="C178" s="91"/>
      <c r="D178" s="91"/>
      <c r="E178" s="92"/>
      <c r="F178" s="93"/>
      <c r="G178" s="93"/>
      <c r="H178" s="93"/>
      <c r="I178" s="94"/>
      <c r="J178" s="94"/>
      <c r="K178" s="94"/>
      <c r="L178" s="95"/>
      <c r="M178" s="96"/>
      <c r="N178" s="96"/>
      <c r="O178" s="96"/>
      <c r="P178" s="96"/>
      <c r="Q178" s="96"/>
      <c r="R178" s="96"/>
      <c r="S178" s="96"/>
      <c r="T178" s="96"/>
      <c r="U178" s="96"/>
      <c r="V178" s="96"/>
    </row>
    <row r="179" spans="2:22" s="99" customFormat="1" ht="15.75" x14ac:dyDescent="0.25">
      <c r="B179" s="90"/>
      <c r="C179" s="91"/>
      <c r="D179" s="91"/>
      <c r="E179" s="92"/>
      <c r="F179" s="93"/>
      <c r="G179" s="93"/>
      <c r="H179" s="93"/>
      <c r="I179" s="94"/>
      <c r="J179" s="94"/>
      <c r="K179" s="94"/>
      <c r="L179" s="95"/>
      <c r="M179" s="96"/>
      <c r="N179" s="96"/>
      <c r="O179" s="96"/>
      <c r="P179" s="96"/>
      <c r="Q179" s="96"/>
      <c r="R179" s="96"/>
      <c r="S179" s="96"/>
      <c r="T179" s="96"/>
      <c r="U179" s="96"/>
      <c r="V179" s="96"/>
    </row>
    <row r="180" spans="2:22" s="99" customFormat="1" ht="15.75" x14ac:dyDescent="0.25">
      <c r="B180" s="90" t="s">
        <v>229</v>
      </c>
      <c r="C180" s="91"/>
      <c r="D180" s="91"/>
      <c r="E180" s="92"/>
      <c r="F180" s="93"/>
      <c r="G180" s="93"/>
      <c r="H180" s="93"/>
      <c r="I180" s="94"/>
      <c r="J180" s="94"/>
      <c r="K180" s="94"/>
      <c r="L180" s="95"/>
      <c r="M180" s="96"/>
      <c r="N180" s="96"/>
      <c r="O180" s="96"/>
      <c r="P180" s="96"/>
      <c r="Q180" s="96"/>
      <c r="R180" s="96"/>
      <c r="S180" s="96"/>
      <c r="T180" s="96"/>
      <c r="U180" s="96"/>
      <c r="V180" s="96"/>
    </row>
    <row r="181" spans="2:22" s="99" customFormat="1" ht="15.75" x14ac:dyDescent="0.25">
      <c r="B181" s="91"/>
      <c r="C181" s="91"/>
      <c r="D181" s="91"/>
      <c r="E181" s="92"/>
      <c r="F181" s="93"/>
      <c r="G181" s="93"/>
      <c r="H181" s="93"/>
      <c r="I181" s="94"/>
      <c r="J181" s="94"/>
      <c r="K181" s="94"/>
      <c r="L181" s="95"/>
      <c r="M181" s="96"/>
      <c r="N181" s="96"/>
      <c r="O181" s="96"/>
      <c r="P181" s="96"/>
      <c r="Q181" s="96"/>
      <c r="R181" s="96"/>
      <c r="S181" s="96"/>
      <c r="T181" s="96"/>
      <c r="U181" s="96"/>
      <c r="V181" s="96"/>
    </row>
    <row r="182" spans="2:22" s="99" customFormat="1" x14ac:dyDescent="0.25">
      <c r="B182" s="97"/>
      <c r="C182" s="97"/>
      <c r="D182" s="97"/>
      <c r="E182" s="98"/>
      <c r="F182" s="93"/>
      <c r="G182" s="93"/>
      <c r="H182" s="93"/>
      <c r="I182" s="94"/>
      <c r="J182" s="94"/>
      <c r="K182" s="94"/>
      <c r="L182" s="95"/>
      <c r="M182" s="96"/>
      <c r="N182" s="96"/>
      <c r="O182" s="96"/>
      <c r="P182" s="96"/>
      <c r="Q182" s="96"/>
      <c r="R182" s="96"/>
      <c r="S182" s="96"/>
      <c r="T182" s="96"/>
      <c r="U182" s="96"/>
      <c r="V182" s="96"/>
    </row>
    <row r="183" spans="2:22" s="99" customFormat="1" x14ac:dyDescent="0.25"/>
    <row r="184" spans="2:22" s="99" customFormat="1" x14ac:dyDescent="0.25"/>
    <row r="185" spans="2:22" x14ac:dyDescent="0.25">
      <c r="B185" s="99"/>
      <c r="C185" s="99"/>
      <c r="D185" s="99"/>
      <c r="E185" s="99"/>
      <c r="F185" s="99"/>
      <c r="G185" s="99"/>
    </row>
    <row r="186" spans="2:22" x14ac:dyDescent="0.25">
      <c r="B186" s="99"/>
      <c r="C186" s="99"/>
      <c r="D186" s="99"/>
      <c r="E186" s="99"/>
      <c r="F186" s="99"/>
      <c r="G186" s="99"/>
    </row>
    <row r="187" spans="2:22" x14ac:dyDescent="0.25">
      <c r="B187" s="99"/>
      <c r="C187" s="99"/>
      <c r="D187" s="99"/>
      <c r="E187" s="99"/>
      <c r="F187" s="99"/>
      <c r="G187" s="99"/>
    </row>
    <row r="188" spans="2:22" x14ac:dyDescent="0.25">
      <c r="B188" s="99"/>
      <c r="C188" s="99"/>
      <c r="D188" s="99"/>
      <c r="E188" s="99"/>
      <c r="F188" s="99"/>
      <c r="G188" s="99"/>
    </row>
    <row r="189" spans="2:22" x14ac:dyDescent="0.25">
      <c r="B189" s="99"/>
      <c r="C189" s="99"/>
      <c r="D189" s="99"/>
      <c r="E189" s="99"/>
      <c r="F189" s="99"/>
      <c r="G189" s="99"/>
    </row>
    <row r="190" spans="2:22" x14ac:dyDescent="0.25">
      <c r="B190" s="99"/>
      <c r="C190" s="99"/>
      <c r="D190" s="99"/>
      <c r="E190" s="99"/>
      <c r="F190" s="99"/>
      <c r="G190" s="99"/>
    </row>
    <row r="191" spans="2:22" x14ac:dyDescent="0.25">
      <c r="B191" s="99"/>
      <c r="C191" s="99"/>
      <c r="D191" s="99"/>
      <c r="E191" s="99"/>
      <c r="F191" s="99"/>
      <c r="G191" s="99"/>
    </row>
    <row r="192" spans="2:22" x14ac:dyDescent="0.25">
      <c r="B192" s="99"/>
      <c r="C192" s="99"/>
      <c r="D192" s="99"/>
      <c r="E192" s="99"/>
      <c r="F192" s="99"/>
      <c r="G192" s="99"/>
    </row>
    <row r="193" spans="2:7" x14ac:dyDescent="0.25">
      <c r="B193" s="99"/>
      <c r="C193" s="99"/>
      <c r="D193" s="99"/>
      <c r="E193" s="99"/>
      <c r="F193" s="99"/>
      <c r="G193" s="99"/>
    </row>
    <row r="194" spans="2:7" x14ac:dyDescent="0.25">
      <c r="B194" s="99"/>
      <c r="C194" s="99"/>
      <c r="D194" s="99"/>
      <c r="E194" s="99"/>
      <c r="F194" s="99"/>
      <c r="G194" s="99"/>
    </row>
    <row r="195" spans="2:7" x14ac:dyDescent="0.25">
      <c r="B195" s="99"/>
      <c r="C195" s="99"/>
      <c r="D195" s="99"/>
      <c r="E195" s="99"/>
      <c r="F195" s="99"/>
      <c r="G195" s="99"/>
    </row>
    <row r="196" spans="2:7" x14ac:dyDescent="0.25">
      <c r="B196" s="99"/>
      <c r="C196" s="99"/>
      <c r="D196" s="99"/>
      <c r="E196" s="99"/>
      <c r="F196" s="99"/>
      <c r="G196" s="99"/>
    </row>
    <row r="197" spans="2:7" x14ac:dyDescent="0.25">
      <c r="B197" s="99"/>
      <c r="C197" s="99"/>
      <c r="D197" s="99"/>
      <c r="E197" s="99"/>
      <c r="F197" s="99"/>
      <c r="G197" s="99"/>
    </row>
    <row r="198" spans="2:7" x14ac:dyDescent="0.25">
      <c r="B198" s="99"/>
      <c r="C198" s="99"/>
      <c r="D198" s="99"/>
      <c r="E198" s="99"/>
      <c r="F198" s="99"/>
      <c r="G198" s="99"/>
    </row>
    <row r="199" spans="2:7" x14ac:dyDescent="0.25">
      <c r="B199" s="99"/>
      <c r="C199" s="99"/>
      <c r="D199" s="99"/>
      <c r="E199" s="99"/>
      <c r="F199" s="99"/>
      <c r="G199" s="99"/>
    </row>
    <row r="200" spans="2:7" x14ac:dyDescent="0.25">
      <c r="B200" s="99"/>
      <c r="C200" s="99"/>
      <c r="D200" s="99"/>
      <c r="E200" s="99"/>
      <c r="F200" s="99"/>
      <c r="G200" s="99"/>
    </row>
  </sheetData>
  <sheetProtection algorithmName="SHA-512" hashValue="39T7fEU5rh71i8CuUvC+xThENkIFeTiZvvWFHvobNbse1p1x0PGGayunZJenFpdf9IB1wzcorNW2w1bukxB56Q==" saltValue="j3K8MQg7Ar7F3DWjGHWfsw==" spinCount="100000" sheet="1" objects="1" scenarios="1"/>
  <mergeCells count="25">
    <mergeCell ref="R4:S4"/>
    <mergeCell ref="T4:T5"/>
    <mergeCell ref="U4:V4"/>
    <mergeCell ref="P3:P5"/>
    <mergeCell ref="F4:F5"/>
    <mergeCell ref="G4:H4"/>
    <mergeCell ref="I4:I5"/>
    <mergeCell ref="J4:K4"/>
    <mergeCell ref="L3:L5"/>
    <mergeCell ref="C1:S1"/>
    <mergeCell ref="A2:A5"/>
    <mergeCell ref="B2:B5"/>
    <mergeCell ref="C2:E2"/>
    <mergeCell ref="F2:V2"/>
    <mergeCell ref="C3:E3"/>
    <mergeCell ref="F3:H3"/>
    <mergeCell ref="I3:K3"/>
    <mergeCell ref="C4:C5"/>
    <mergeCell ref="D4:E4"/>
    <mergeCell ref="M4:M5"/>
    <mergeCell ref="M3:O3"/>
    <mergeCell ref="Q3:S3"/>
    <mergeCell ref="T3:V3"/>
    <mergeCell ref="N4:O4"/>
    <mergeCell ref="Q4:Q5"/>
  </mergeCells>
  <pageMargins left="0.31496062992125984" right="0.11811023622047245" top="0" bottom="0" header="0.31496062992125984" footer="0.31496062992125984"/>
  <pageSetup paperSize="8" scale="4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2024-02-01T13:57:31Z</cp:lastPrinted>
  <dcterms:created xsi:type="dcterms:W3CDTF">2020-02-03T08:43:29Z</dcterms:created>
  <dcterms:modified xsi:type="dcterms:W3CDTF">2026-02-03T14:37:21Z</dcterms:modified>
</cp:coreProperties>
</file>