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о\Desktop\Понедельник\бюджет 2016\"/>
    </mc:Choice>
  </mc:AlternateContent>
  <bookViews>
    <workbookView xWindow="0" yWindow="0" windowWidth="20490" windowHeight="8240" tabRatio="550"/>
  </bookViews>
  <sheets>
    <sheet name="2016" sheetId="10" r:id="rId1"/>
  </sheets>
  <definedNames>
    <definedName name="_xlnm.Print_Titles" localSheetId="0">'2016'!$4:$5</definedName>
  </definedNames>
  <calcPr calcId="162913"/>
</workbook>
</file>

<file path=xl/calcChain.xml><?xml version="1.0" encoding="utf-8"?>
<calcChain xmlns="http://schemas.openxmlformats.org/spreadsheetml/2006/main">
  <c r="I23" i="10" l="1"/>
  <c r="N23" i="10"/>
  <c r="S23" i="10"/>
  <c r="X23" i="10"/>
  <c r="AC28" i="10" l="1"/>
  <c r="AB28" i="10"/>
  <c r="Y49" i="10" l="1"/>
  <c r="Z83" i="10"/>
  <c r="Y83" i="10"/>
  <c r="Z79" i="10"/>
  <c r="Y79" i="10"/>
  <c r="Z74" i="10"/>
  <c r="Y74" i="10"/>
  <c r="Z66" i="10"/>
  <c r="Y66" i="10"/>
  <c r="Z53" i="10"/>
  <c r="Z78" i="10" s="1"/>
  <c r="Y53" i="10"/>
  <c r="Y78" i="10" s="1"/>
  <c r="Z49" i="10"/>
  <c r="Z50" i="10"/>
  <c r="Z77" i="10" s="1"/>
  <c r="Y50" i="10"/>
  <c r="Y77" i="10" s="1"/>
  <c r="Z44" i="10"/>
  <c r="Z76" i="10" s="1"/>
  <c r="Y44" i="10"/>
  <c r="Y76" i="10" s="1"/>
  <c r="Z17" i="10" l="1"/>
  <c r="Y17" i="10"/>
  <c r="Y8" i="10"/>
  <c r="Z26" i="10"/>
  <c r="Z27" i="10"/>
  <c r="Z20" i="10"/>
  <c r="Y20" i="10"/>
  <c r="U15" i="10" l="1"/>
  <c r="AC85" i="10"/>
  <c r="AB85" i="10"/>
  <c r="AA85" i="10"/>
  <c r="AC83" i="10"/>
  <c r="AB83" i="10"/>
  <c r="AA83" i="10"/>
  <c r="AC79" i="10"/>
  <c r="AB79" i="10"/>
  <c r="AA79" i="10"/>
  <c r="AC78" i="10"/>
  <c r="AB78" i="10"/>
  <c r="AA78" i="10"/>
  <c r="AC77" i="10"/>
  <c r="AB77" i="10"/>
  <c r="AA77" i="10"/>
  <c r="AA76" i="10"/>
  <c r="AC74" i="10"/>
  <c r="AB74" i="10"/>
  <c r="AA74" i="10"/>
  <c r="Z73" i="10"/>
  <c r="Y73" i="10"/>
  <c r="AC72" i="10"/>
  <c r="AB72" i="10"/>
  <c r="AA72" i="10"/>
  <c r="AC71" i="10"/>
  <c r="AB71" i="10"/>
  <c r="AA71" i="10"/>
  <c r="AC70" i="10"/>
  <c r="AB70" i="10"/>
  <c r="AA70" i="10"/>
  <c r="AC68" i="10"/>
  <c r="AB68" i="10"/>
  <c r="AA68" i="10"/>
  <c r="AC67" i="10"/>
  <c r="AB67" i="10"/>
  <c r="AA67" i="10"/>
  <c r="AC66" i="10"/>
  <c r="AB66" i="10"/>
  <c r="AA66" i="10"/>
  <c r="AC65" i="10"/>
  <c r="AB65" i="10"/>
  <c r="AA65" i="10"/>
  <c r="AC64" i="10"/>
  <c r="AB64" i="10"/>
  <c r="AA64" i="10"/>
  <c r="Z63" i="10"/>
  <c r="Y63" i="10"/>
  <c r="AC60" i="10"/>
  <c r="AB60" i="10"/>
  <c r="AA60" i="10"/>
  <c r="AC59" i="10"/>
  <c r="AB59" i="10"/>
  <c r="AA59" i="10"/>
  <c r="AC58" i="10"/>
  <c r="AB58" i="10"/>
  <c r="AA58" i="10"/>
  <c r="AB57" i="10"/>
  <c r="AA57" i="10"/>
  <c r="AC56" i="10"/>
  <c r="AB56" i="10"/>
  <c r="AA56" i="10"/>
  <c r="AC55" i="10"/>
  <c r="AB55" i="10"/>
  <c r="AA55" i="10"/>
  <c r="AC54" i="10"/>
  <c r="AB54" i="10"/>
  <c r="AA54" i="10"/>
  <c r="AC53" i="10"/>
  <c r="AB53" i="10"/>
  <c r="AA53" i="10"/>
  <c r="AC52" i="10"/>
  <c r="AB52" i="10"/>
  <c r="AA52" i="10"/>
  <c r="AC50" i="10"/>
  <c r="AB50" i="10"/>
  <c r="AA50" i="10"/>
  <c r="AC49" i="10"/>
  <c r="AB49" i="10"/>
  <c r="AA49" i="10"/>
  <c r="Z48" i="10"/>
  <c r="Y48" i="10"/>
  <c r="AC46" i="10"/>
  <c r="AB46" i="10"/>
  <c r="AA46" i="10"/>
  <c r="AC45" i="10"/>
  <c r="AB45" i="10"/>
  <c r="AC44" i="10"/>
  <c r="AB44" i="10"/>
  <c r="AA44" i="10"/>
  <c r="AC43" i="10"/>
  <c r="AB43" i="10"/>
  <c r="AA43" i="10"/>
  <c r="Z42" i="10"/>
  <c r="Y42" i="10"/>
  <c r="AA41" i="10"/>
  <c r="AC40" i="10"/>
  <c r="AB40" i="10"/>
  <c r="AA40" i="10"/>
  <c r="AC39" i="10"/>
  <c r="AB39" i="10"/>
  <c r="AA39" i="10"/>
  <c r="AC38" i="10"/>
  <c r="AB38" i="10"/>
  <c r="AA38" i="10"/>
  <c r="Z37" i="10"/>
  <c r="Y37" i="10"/>
  <c r="Y86" i="10" s="1"/>
  <c r="AC35" i="10"/>
  <c r="AB35" i="10"/>
  <c r="AA35" i="10"/>
  <c r="AC34" i="10"/>
  <c r="AB34" i="10"/>
  <c r="AC33" i="10"/>
  <c r="AA33" i="10"/>
  <c r="AC30" i="10"/>
  <c r="AB30" i="10"/>
  <c r="AA30" i="10"/>
  <c r="AC29" i="10"/>
  <c r="AB29" i="10"/>
  <c r="AA29" i="10"/>
  <c r="AA28" i="10"/>
  <c r="AC22" i="10"/>
  <c r="AB22" i="10"/>
  <c r="AC21" i="10"/>
  <c r="AB21" i="10"/>
  <c r="AA21" i="10"/>
  <c r="AC20" i="10"/>
  <c r="AB20" i="10"/>
  <c r="AA20" i="10"/>
  <c r="AC19" i="10"/>
  <c r="AB19" i="10"/>
  <c r="AA19" i="10"/>
  <c r="AC18" i="10"/>
  <c r="AB18" i="10"/>
  <c r="AA18" i="10"/>
  <c r="AC17" i="10"/>
  <c r="AB17" i="10"/>
  <c r="AA17" i="10"/>
  <c r="AC16" i="10"/>
  <c r="AB16" i="10"/>
  <c r="Z15" i="10"/>
  <c r="Y15" i="10"/>
  <c r="Y7" i="10" s="1"/>
  <c r="AC14" i="10"/>
  <c r="AB14" i="10"/>
  <c r="AA14" i="10"/>
  <c r="AC12" i="10"/>
  <c r="AB12" i="10"/>
  <c r="AA12" i="10"/>
  <c r="AC11" i="10"/>
  <c r="AB11" i="10"/>
  <c r="AA11" i="10"/>
  <c r="AC10" i="10"/>
  <c r="AB10" i="10"/>
  <c r="AA10" i="10"/>
  <c r="AC9" i="10"/>
  <c r="AB9" i="10"/>
  <c r="AA9" i="10"/>
  <c r="Z8" i="10"/>
  <c r="AA73" i="10" l="1"/>
  <c r="AA48" i="10"/>
  <c r="Z7" i="10"/>
  <c r="Z86" i="10"/>
  <c r="AA63" i="10"/>
  <c r="AA31" i="10"/>
  <c r="AA42" i="10"/>
  <c r="AA8" i="10"/>
  <c r="AA15" i="10"/>
  <c r="AA37" i="10"/>
  <c r="X84" i="10"/>
  <c r="X85" i="10"/>
  <c r="W84" i="10"/>
  <c r="W85" i="10"/>
  <c r="V85" i="10"/>
  <c r="V9" i="10"/>
  <c r="V10" i="10"/>
  <c r="V11" i="10"/>
  <c r="V12" i="10"/>
  <c r="V14" i="10"/>
  <c r="V16" i="10"/>
  <c r="V17" i="10"/>
  <c r="V18" i="10"/>
  <c r="V19" i="10"/>
  <c r="V20" i="10"/>
  <c r="V21" i="10"/>
  <c r="V22" i="10"/>
  <c r="V28" i="10"/>
  <c r="V29" i="10"/>
  <c r="V30" i="10"/>
  <c r="V34" i="10"/>
  <c r="V35" i="10"/>
  <c r="W9" i="10"/>
  <c r="X9" i="10"/>
  <c r="W10" i="10"/>
  <c r="X10" i="10"/>
  <c r="W11" i="10"/>
  <c r="X11" i="10"/>
  <c r="W12" i="10"/>
  <c r="X12" i="10"/>
  <c r="W14" i="10"/>
  <c r="X14" i="10"/>
  <c r="W16" i="10"/>
  <c r="X16" i="10"/>
  <c r="W17" i="10"/>
  <c r="X17" i="10"/>
  <c r="W18" i="10"/>
  <c r="X18" i="10"/>
  <c r="W19" i="10"/>
  <c r="X19" i="10"/>
  <c r="W20" i="10"/>
  <c r="X20" i="10"/>
  <c r="W21" i="10"/>
  <c r="X21" i="10"/>
  <c r="W22" i="10"/>
  <c r="X22" i="10"/>
  <c r="W25" i="10"/>
  <c r="X25" i="10"/>
  <c r="W28" i="10"/>
  <c r="X28" i="10"/>
  <c r="W29" i="10"/>
  <c r="X29" i="10"/>
  <c r="W30" i="10"/>
  <c r="X30" i="10"/>
  <c r="W32" i="10"/>
  <c r="X32" i="10"/>
  <c r="X33" i="10"/>
  <c r="W34" i="10"/>
  <c r="X34" i="10"/>
  <c r="W35" i="10"/>
  <c r="X35" i="10"/>
  <c r="T73" i="10"/>
  <c r="AB73" i="10" s="1"/>
  <c r="U73" i="10"/>
  <c r="AC73" i="10" s="1"/>
  <c r="U48" i="10"/>
  <c r="AC48" i="10" s="1"/>
  <c r="T48" i="10"/>
  <c r="AB48" i="10" s="1"/>
  <c r="U42" i="10"/>
  <c r="AC42" i="10" s="1"/>
  <c r="T42" i="10"/>
  <c r="AB42" i="10" s="1"/>
  <c r="U37" i="10"/>
  <c r="AC37" i="10" s="1"/>
  <c r="T37" i="10"/>
  <c r="AB37" i="10" s="1"/>
  <c r="Z6" i="10" l="1"/>
  <c r="Z87" i="10" s="1"/>
  <c r="Y26" i="10"/>
  <c r="AA26" i="10" s="1"/>
  <c r="AA86" i="10"/>
  <c r="AA7" i="10"/>
  <c r="T33" i="10"/>
  <c r="P73" i="10"/>
  <c r="J48" i="10"/>
  <c r="T8" i="10"/>
  <c r="AB8" i="10" s="1"/>
  <c r="U8" i="10"/>
  <c r="P55" i="10"/>
  <c r="U63" i="10"/>
  <c r="AC63" i="10" s="1"/>
  <c r="T63" i="10"/>
  <c r="T31" i="10"/>
  <c r="U31" i="10"/>
  <c r="U26" i="10" l="1"/>
  <c r="AC31" i="10"/>
  <c r="V31" i="10"/>
  <c r="T26" i="10"/>
  <c r="AB26" i="10" s="1"/>
  <c r="V8" i="10"/>
  <c r="AC8" i="10"/>
  <c r="V33" i="10"/>
  <c r="AB33" i="10"/>
  <c r="W33" i="10"/>
  <c r="AB31" i="10"/>
  <c r="AB63" i="10"/>
  <c r="T86" i="10"/>
  <c r="U86" i="10"/>
  <c r="Y6" i="10"/>
  <c r="AA6" i="10" s="1"/>
  <c r="T15" i="10"/>
  <c r="AC86" i="10" l="1"/>
  <c r="V86" i="10"/>
  <c r="AB86" i="10"/>
  <c r="Y87" i="10"/>
  <c r="AA87" i="10" s="1"/>
  <c r="T7" i="10"/>
  <c r="AB15" i="10"/>
  <c r="U7" i="10"/>
  <c r="AC15" i="10"/>
  <c r="V15" i="10"/>
  <c r="V26" i="10"/>
  <c r="AC26" i="10"/>
  <c r="D67" i="10"/>
  <c r="G67" i="10"/>
  <c r="H67" i="10"/>
  <c r="I67" i="10"/>
  <c r="L67" i="10"/>
  <c r="M67" i="10"/>
  <c r="N67" i="10"/>
  <c r="Q67" i="10"/>
  <c r="R67" i="10"/>
  <c r="S67" i="10"/>
  <c r="V67" i="10"/>
  <c r="W67" i="10"/>
  <c r="X67" i="10"/>
  <c r="V68" i="10"/>
  <c r="W68" i="10"/>
  <c r="X68" i="10"/>
  <c r="L69" i="10"/>
  <c r="U6" i="10" l="1"/>
  <c r="V7" i="10"/>
  <c r="AC7" i="10"/>
  <c r="T6" i="10"/>
  <c r="AB7" i="10"/>
  <c r="J37" i="10"/>
  <c r="Q74" i="10"/>
  <c r="Q78" i="10"/>
  <c r="Q81" i="10"/>
  <c r="Q83" i="10"/>
  <c r="V83" i="10"/>
  <c r="O73" i="10"/>
  <c r="W73" i="10" s="1"/>
  <c r="V76" i="10"/>
  <c r="V77" i="10"/>
  <c r="W77" i="10"/>
  <c r="X77" i="10"/>
  <c r="V78" i="10"/>
  <c r="W78" i="10"/>
  <c r="X78" i="10"/>
  <c r="V79" i="10"/>
  <c r="W79" i="10"/>
  <c r="X79" i="10"/>
  <c r="W80" i="10"/>
  <c r="X80" i="10"/>
  <c r="W81" i="10"/>
  <c r="X81" i="10"/>
  <c r="W83" i="10"/>
  <c r="X83" i="10"/>
  <c r="V59" i="10"/>
  <c r="V60" i="10"/>
  <c r="W60" i="10"/>
  <c r="X60" i="10"/>
  <c r="V63" i="10"/>
  <c r="V64" i="10"/>
  <c r="W64" i="10"/>
  <c r="X64" i="10"/>
  <c r="V65" i="10"/>
  <c r="W65" i="10"/>
  <c r="X65" i="10"/>
  <c r="V66" i="10"/>
  <c r="V70" i="10"/>
  <c r="W70" i="10"/>
  <c r="X70" i="10"/>
  <c r="V71" i="10"/>
  <c r="W71" i="10"/>
  <c r="X71" i="10"/>
  <c r="V72" i="10"/>
  <c r="W72" i="10"/>
  <c r="X72" i="10"/>
  <c r="V73" i="10"/>
  <c r="V74" i="10"/>
  <c r="W74" i="10"/>
  <c r="X74" i="10"/>
  <c r="W75" i="10"/>
  <c r="X75" i="10"/>
  <c r="V37" i="10"/>
  <c r="V38" i="10"/>
  <c r="W38" i="10"/>
  <c r="X38" i="10"/>
  <c r="V39" i="10"/>
  <c r="W39" i="10"/>
  <c r="X39" i="10"/>
  <c r="V40" i="10"/>
  <c r="W40" i="10"/>
  <c r="X40" i="10"/>
  <c r="V41" i="10"/>
  <c r="V42" i="10"/>
  <c r="V43" i="10"/>
  <c r="W43" i="10"/>
  <c r="X43" i="10"/>
  <c r="V44" i="10"/>
  <c r="W44" i="10"/>
  <c r="X44" i="10"/>
  <c r="V45" i="10"/>
  <c r="W45" i="10"/>
  <c r="X45" i="10"/>
  <c r="V46" i="10"/>
  <c r="W46" i="10"/>
  <c r="X46" i="10"/>
  <c r="W47" i="10"/>
  <c r="X47" i="10"/>
  <c r="V48" i="10"/>
  <c r="V49" i="10"/>
  <c r="W49" i="10"/>
  <c r="X49" i="10"/>
  <c r="V50" i="10"/>
  <c r="W50" i="10"/>
  <c r="X50" i="10"/>
  <c r="W51" i="10"/>
  <c r="X51" i="10"/>
  <c r="V52" i="10"/>
  <c r="V53" i="10"/>
  <c r="W53" i="10"/>
  <c r="X53" i="10"/>
  <c r="V54" i="10"/>
  <c r="W54" i="10"/>
  <c r="X54" i="10"/>
  <c r="V55" i="10"/>
  <c r="V56" i="10"/>
  <c r="W56" i="10"/>
  <c r="X56" i="10"/>
  <c r="V57" i="10"/>
  <c r="W57" i="10"/>
  <c r="V58" i="10"/>
  <c r="W58" i="10"/>
  <c r="X58" i="10"/>
  <c r="T87" i="10" l="1"/>
  <c r="AB6" i="10"/>
  <c r="V6" i="10"/>
  <c r="AC6" i="10"/>
  <c r="U87" i="10"/>
  <c r="O37" i="10"/>
  <c r="O31" i="10"/>
  <c r="R31" i="10" s="1"/>
  <c r="P15" i="10"/>
  <c r="X15" i="10" s="1"/>
  <c r="S25" i="10"/>
  <c r="R12" i="10"/>
  <c r="Q16" i="10"/>
  <c r="O15" i="10"/>
  <c r="W15" i="10" s="1"/>
  <c r="O8" i="10"/>
  <c r="W8" i="10" s="1"/>
  <c r="B8" i="10"/>
  <c r="C8" i="10"/>
  <c r="E8" i="10"/>
  <c r="F8" i="10"/>
  <c r="J8" i="10"/>
  <c r="K8" i="10"/>
  <c r="P8" i="10"/>
  <c r="D9" i="10"/>
  <c r="G9" i="10"/>
  <c r="H9" i="10"/>
  <c r="I9" i="10"/>
  <c r="L9" i="10"/>
  <c r="M9" i="10"/>
  <c r="N9" i="10"/>
  <c r="Q9" i="10"/>
  <c r="R9" i="10"/>
  <c r="S9" i="10"/>
  <c r="D10" i="10"/>
  <c r="G10" i="10"/>
  <c r="H10" i="10"/>
  <c r="I10" i="10"/>
  <c r="L10" i="10"/>
  <c r="M10" i="10"/>
  <c r="N10" i="10"/>
  <c r="Q10" i="10"/>
  <c r="R10" i="10"/>
  <c r="S10" i="10"/>
  <c r="L11" i="10"/>
  <c r="Q11" i="10"/>
  <c r="R11" i="10"/>
  <c r="S11" i="10"/>
  <c r="L12" i="10"/>
  <c r="Q12" i="10"/>
  <c r="S12" i="10"/>
  <c r="I13" i="10"/>
  <c r="D14" i="10"/>
  <c r="G14" i="10"/>
  <c r="H14" i="10"/>
  <c r="I14" i="10"/>
  <c r="L14" i="10"/>
  <c r="M14" i="10"/>
  <c r="N14" i="10"/>
  <c r="Q14" i="10"/>
  <c r="R14" i="10"/>
  <c r="S14" i="10"/>
  <c r="B15" i="10"/>
  <c r="C15" i="10"/>
  <c r="E15" i="10"/>
  <c r="F15" i="10"/>
  <c r="J15" i="10"/>
  <c r="K15" i="10"/>
  <c r="D16" i="10"/>
  <c r="G16" i="10"/>
  <c r="H16" i="10"/>
  <c r="I16" i="10"/>
  <c r="L16" i="10"/>
  <c r="M16" i="10"/>
  <c r="N16" i="10"/>
  <c r="R16" i="10"/>
  <c r="S16" i="10"/>
  <c r="D17" i="10"/>
  <c r="G17" i="10"/>
  <c r="H17" i="10"/>
  <c r="I17" i="10"/>
  <c r="L17" i="10"/>
  <c r="M17" i="10"/>
  <c r="N17" i="10"/>
  <c r="Q17" i="10"/>
  <c r="R17" i="10"/>
  <c r="S17" i="10"/>
  <c r="D18" i="10"/>
  <c r="G18" i="10"/>
  <c r="H18" i="10"/>
  <c r="I18" i="10"/>
  <c r="L18" i="10"/>
  <c r="M18" i="10"/>
  <c r="N18" i="10"/>
  <c r="Q18" i="10"/>
  <c r="R18" i="10"/>
  <c r="S18" i="10"/>
  <c r="D19" i="10"/>
  <c r="G19" i="10"/>
  <c r="H19" i="10"/>
  <c r="I19" i="10"/>
  <c r="L19" i="10"/>
  <c r="M19" i="10"/>
  <c r="N19" i="10"/>
  <c r="Q19" i="10"/>
  <c r="R19" i="10"/>
  <c r="S19" i="10"/>
  <c r="D20" i="10"/>
  <c r="G20" i="10"/>
  <c r="H20" i="10"/>
  <c r="I20" i="10"/>
  <c r="L20" i="10"/>
  <c r="M20" i="10"/>
  <c r="N20" i="10"/>
  <c r="Q20" i="10"/>
  <c r="R20" i="10"/>
  <c r="S20" i="10"/>
  <c r="D21" i="10"/>
  <c r="G21" i="10"/>
  <c r="H21" i="10"/>
  <c r="I21" i="10"/>
  <c r="L21" i="10"/>
  <c r="M21" i="10"/>
  <c r="N21" i="10"/>
  <c r="Q21" i="10"/>
  <c r="R21" i="10"/>
  <c r="S21" i="10"/>
  <c r="G22" i="10"/>
  <c r="I22" i="10"/>
  <c r="L22" i="10"/>
  <c r="M22" i="10"/>
  <c r="N22" i="10"/>
  <c r="Q22" i="10"/>
  <c r="R22" i="10"/>
  <c r="S22" i="10"/>
  <c r="D24" i="10"/>
  <c r="H24" i="10"/>
  <c r="I24" i="10"/>
  <c r="D25" i="10"/>
  <c r="G25" i="10"/>
  <c r="H25" i="10"/>
  <c r="I25" i="10"/>
  <c r="L25" i="10"/>
  <c r="M25" i="10"/>
  <c r="N25" i="10"/>
  <c r="Q25" i="10"/>
  <c r="R25" i="10"/>
  <c r="B26" i="10"/>
  <c r="C26" i="10"/>
  <c r="E26" i="10"/>
  <c r="F26" i="10"/>
  <c r="J26" i="10"/>
  <c r="K26" i="10"/>
  <c r="D28" i="10"/>
  <c r="G28" i="10"/>
  <c r="H28" i="10"/>
  <c r="I28" i="10"/>
  <c r="L28" i="10"/>
  <c r="M28" i="10"/>
  <c r="N28" i="10"/>
  <c r="Q28" i="10"/>
  <c r="R28" i="10"/>
  <c r="S28" i="10"/>
  <c r="D29" i="10"/>
  <c r="G29" i="10"/>
  <c r="H29" i="10"/>
  <c r="I29" i="10"/>
  <c r="L29" i="10"/>
  <c r="M29" i="10"/>
  <c r="N29" i="10"/>
  <c r="Q29" i="10"/>
  <c r="R29" i="10"/>
  <c r="S29" i="10"/>
  <c r="D30" i="10"/>
  <c r="G30" i="10"/>
  <c r="H30" i="10"/>
  <c r="I30" i="10"/>
  <c r="L30" i="10"/>
  <c r="M30" i="10"/>
  <c r="N30" i="10"/>
  <c r="Q30" i="10"/>
  <c r="R30" i="10"/>
  <c r="S30" i="10"/>
  <c r="D31" i="10"/>
  <c r="G31" i="10"/>
  <c r="H31" i="10"/>
  <c r="I31" i="10"/>
  <c r="L31" i="10"/>
  <c r="M31" i="10"/>
  <c r="N31" i="10"/>
  <c r="P31" i="10"/>
  <c r="X31" i="10" s="1"/>
  <c r="D32" i="10"/>
  <c r="G32" i="10"/>
  <c r="H32" i="10"/>
  <c r="I32" i="10"/>
  <c r="L32" i="10"/>
  <c r="M32" i="10"/>
  <c r="N32" i="10"/>
  <c r="Q32" i="10"/>
  <c r="R32" i="10"/>
  <c r="S32" i="10"/>
  <c r="L33" i="10"/>
  <c r="Q33" i="10"/>
  <c r="R33" i="10"/>
  <c r="S33" i="10"/>
  <c r="L34" i="10"/>
  <c r="Q34" i="10"/>
  <c r="R34" i="10"/>
  <c r="S34" i="10"/>
  <c r="L35" i="10"/>
  <c r="Q35" i="10"/>
  <c r="R35" i="10"/>
  <c r="S35" i="10"/>
  <c r="D37" i="10"/>
  <c r="G37" i="10"/>
  <c r="H37" i="10"/>
  <c r="I37" i="10"/>
  <c r="K37" i="10"/>
  <c r="N37" i="10" s="1"/>
  <c r="P37" i="10"/>
  <c r="X37" i="10" s="1"/>
  <c r="D38" i="10"/>
  <c r="G38" i="10"/>
  <c r="H38" i="10"/>
  <c r="I38" i="10"/>
  <c r="L38" i="10"/>
  <c r="M38" i="10"/>
  <c r="N38" i="10"/>
  <c r="Q38" i="10"/>
  <c r="R38" i="10"/>
  <c r="S38" i="10"/>
  <c r="D39" i="10"/>
  <c r="G39" i="10"/>
  <c r="H39" i="10"/>
  <c r="I39" i="10"/>
  <c r="L39" i="10"/>
  <c r="M39" i="10"/>
  <c r="N39" i="10"/>
  <c r="Q39" i="10"/>
  <c r="R39" i="10"/>
  <c r="S39" i="10"/>
  <c r="L40" i="10"/>
  <c r="Q40" i="10"/>
  <c r="R40" i="10"/>
  <c r="S40" i="10"/>
  <c r="D41" i="10"/>
  <c r="D42" i="10"/>
  <c r="G42" i="10"/>
  <c r="H42" i="10"/>
  <c r="I42" i="10"/>
  <c r="J42" i="10"/>
  <c r="M42" i="10" s="1"/>
  <c r="K42" i="10"/>
  <c r="N42" i="10" s="1"/>
  <c r="O42" i="10"/>
  <c r="W42" i="10" s="1"/>
  <c r="P42" i="10"/>
  <c r="X42" i="10" s="1"/>
  <c r="D43" i="10"/>
  <c r="G43" i="10"/>
  <c r="H43" i="10"/>
  <c r="I43" i="10"/>
  <c r="L43" i="10"/>
  <c r="M43" i="10"/>
  <c r="N43" i="10"/>
  <c r="Q43" i="10"/>
  <c r="R43" i="10"/>
  <c r="S43" i="10"/>
  <c r="L44" i="10"/>
  <c r="Q44" i="10"/>
  <c r="R44" i="10"/>
  <c r="S44" i="10"/>
  <c r="L45" i="10"/>
  <c r="Q45" i="10"/>
  <c r="R45" i="10"/>
  <c r="S45" i="10"/>
  <c r="L46" i="10"/>
  <c r="Q46" i="10"/>
  <c r="R46" i="10"/>
  <c r="S46" i="10"/>
  <c r="L47" i="10"/>
  <c r="Q47" i="10"/>
  <c r="R47" i="10"/>
  <c r="S47" i="10"/>
  <c r="D48" i="10"/>
  <c r="G48" i="10"/>
  <c r="H48" i="10"/>
  <c r="I48" i="10"/>
  <c r="M48" i="10"/>
  <c r="K48" i="10"/>
  <c r="N48" i="10" s="1"/>
  <c r="O48" i="10"/>
  <c r="P48" i="10"/>
  <c r="D49" i="10"/>
  <c r="G49" i="10"/>
  <c r="H49" i="10"/>
  <c r="I49" i="10"/>
  <c r="L49" i="10"/>
  <c r="M49" i="10"/>
  <c r="N49" i="10"/>
  <c r="Q49" i="10"/>
  <c r="R49" i="10"/>
  <c r="S49" i="10"/>
  <c r="L50" i="10"/>
  <c r="Q50" i="10"/>
  <c r="R50" i="10"/>
  <c r="S50" i="10"/>
  <c r="L51" i="10"/>
  <c r="Q51" i="10"/>
  <c r="R51" i="10"/>
  <c r="S51" i="10"/>
  <c r="J52" i="10"/>
  <c r="K52" i="10"/>
  <c r="O52" i="10"/>
  <c r="W52" i="10" s="1"/>
  <c r="P52" i="10"/>
  <c r="L53" i="10"/>
  <c r="Q53" i="10"/>
  <c r="R53" i="10"/>
  <c r="S53" i="10"/>
  <c r="L54" i="10"/>
  <c r="Q54" i="10"/>
  <c r="R54" i="10"/>
  <c r="S54" i="10"/>
  <c r="D55" i="10"/>
  <c r="G55" i="10"/>
  <c r="H55" i="10"/>
  <c r="M55" i="10"/>
  <c r="O55" i="10"/>
  <c r="W55" i="10" s="1"/>
  <c r="D56" i="10"/>
  <c r="G56" i="10"/>
  <c r="H56" i="10"/>
  <c r="I56" i="10"/>
  <c r="M56" i="10"/>
  <c r="Q56" i="10"/>
  <c r="Q57" i="10"/>
  <c r="D58" i="10"/>
  <c r="G58" i="10"/>
  <c r="H58" i="10"/>
  <c r="I58" i="10"/>
  <c r="L58" i="10"/>
  <c r="M58" i="10"/>
  <c r="N58" i="10"/>
  <c r="Q58" i="10"/>
  <c r="R58" i="10"/>
  <c r="S58" i="10"/>
  <c r="D59" i="10"/>
  <c r="G59" i="10"/>
  <c r="H59" i="10"/>
  <c r="I59" i="10"/>
  <c r="J59" i="10"/>
  <c r="M59" i="10" s="1"/>
  <c r="K59" i="10"/>
  <c r="N59" i="10" s="1"/>
  <c r="O59" i="10"/>
  <c r="P59" i="10"/>
  <c r="X59" i="10" s="1"/>
  <c r="D60" i="10"/>
  <c r="G60" i="10"/>
  <c r="H60" i="10"/>
  <c r="I60" i="10"/>
  <c r="L60" i="10"/>
  <c r="M60" i="10"/>
  <c r="N60" i="10"/>
  <c r="Q60" i="10"/>
  <c r="R60" i="10"/>
  <c r="S60" i="10"/>
  <c r="L61" i="10"/>
  <c r="D62" i="10"/>
  <c r="H62" i="10"/>
  <c r="I62" i="10"/>
  <c r="D63" i="10"/>
  <c r="G63" i="10"/>
  <c r="H63" i="10"/>
  <c r="I63" i="10"/>
  <c r="L63" i="10"/>
  <c r="M63" i="10"/>
  <c r="N63" i="10"/>
  <c r="O63" i="10"/>
  <c r="W63" i="10" s="1"/>
  <c r="P63" i="10"/>
  <c r="D64" i="10"/>
  <c r="G64" i="10"/>
  <c r="H64" i="10"/>
  <c r="I64" i="10"/>
  <c r="L64" i="10"/>
  <c r="M64" i="10"/>
  <c r="N64" i="10"/>
  <c r="Q64" i="10"/>
  <c r="R64" i="10"/>
  <c r="S64" i="10"/>
  <c r="Q65" i="10"/>
  <c r="D66" i="10"/>
  <c r="G66" i="10"/>
  <c r="H66" i="10"/>
  <c r="I66" i="10"/>
  <c r="J66" i="10"/>
  <c r="K66" i="10"/>
  <c r="N66" i="10" s="1"/>
  <c r="O66" i="10"/>
  <c r="W66" i="10" s="1"/>
  <c r="P66" i="10"/>
  <c r="X66" i="10" s="1"/>
  <c r="D70" i="10"/>
  <c r="G70" i="10"/>
  <c r="H70" i="10"/>
  <c r="I70" i="10"/>
  <c r="L70" i="10"/>
  <c r="M70" i="10"/>
  <c r="N70" i="10"/>
  <c r="Q70" i="10"/>
  <c r="R70" i="10"/>
  <c r="S70" i="10"/>
  <c r="D71" i="10"/>
  <c r="G71" i="10"/>
  <c r="H71" i="10"/>
  <c r="I71" i="10"/>
  <c r="L71" i="10"/>
  <c r="M71" i="10"/>
  <c r="N71" i="10"/>
  <c r="Q71" i="10"/>
  <c r="R71" i="10"/>
  <c r="S71" i="10"/>
  <c r="D72" i="10"/>
  <c r="G72" i="10"/>
  <c r="H72" i="10"/>
  <c r="I72" i="10"/>
  <c r="L72" i="10"/>
  <c r="M72" i="10"/>
  <c r="N72" i="10"/>
  <c r="Q72" i="10"/>
  <c r="R72" i="10"/>
  <c r="S72" i="10"/>
  <c r="B73" i="10"/>
  <c r="B86" i="10" s="1"/>
  <c r="C73" i="10"/>
  <c r="E73" i="10"/>
  <c r="E86" i="10" s="1"/>
  <c r="F73" i="10"/>
  <c r="J73" i="10"/>
  <c r="K73" i="10"/>
  <c r="X73" i="10"/>
  <c r="L74" i="10"/>
  <c r="R74" i="10"/>
  <c r="S74" i="10"/>
  <c r="D75" i="10"/>
  <c r="G75" i="10"/>
  <c r="H75" i="10"/>
  <c r="I75" i="10"/>
  <c r="L75" i="10"/>
  <c r="M75" i="10"/>
  <c r="N75" i="10"/>
  <c r="Q75" i="10"/>
  <c r="R75" i="10"/>
  <c r="S75" i="10"/>
  <c r="G76" i="10"/>
  <c r="L76" i="10"/>
  <c r="M76" i="10"/>
  <c r="N76" i="10"/>
  <c r="R76" i="10"/>
  <c r="S76" i="10"/>
  <c r="D77" i="10"/>
  <c r="G77" i="10"/>
  <c r="H77" i="10"/>
  <c r="I77" i="10"/>
  <c r="L77" i="10"/>
  <c r="M77" i="10"/>
  <c r="N77" i="10"/>
  <c r="Q77" i="10"/>
  <c r="R77" i="10"/>
  <c r="S77" i="10"/>
  <c r="D78" i="10"/>
  <c r="G78" i="10"/>
  <c r="H78" i="10"/>
  <c r="I78" i="10"/>
  <c r="L78" i="10"/>
  <c r="M78" i="10"/>
  <c r="N78" i="10"/>
  <c r="R78" i="10"/>
  <c r="S78" i="10"/>
  <c r="L79" i="10"/>
  <c r="Q79" i="10"/>
  <c r="R79" i="10"/>
  <c r="S79" i="10"/>
  <c r="Q80" i="10"/>
  <c r="D81" i="10"/>
  <c r="G81" i="10"/>
  <c r="H81" i="10"/>
  <c r="I81" i="10"/>
  <c r="L81" i="10"/>
  <c r="M81" i="10"/>
  <c r="N81" i="10"/>
  <c r="R81" i="10"/>
  <c r="S81" i="10"/>
  <c r="L82" i="10"/>
  <c r="D83" i="10"/>
  <c r="G83" i="10"/>
  <c r="H83" i="10"/>
  <c r="I83" i="10"/>
  <c r="L83" i="10"/>
  <c r="M83" i="10"/>
  <c r="N83" i="10"/>
  <c r="R83" i="10"/>
  <c r="S83" i="10"/>
  <c r="D84" i="10"/>
  <c r="G84" i="10"/>
  <c r="H84" i="10"/>
  <c r="I84" i="10"/>
  <c r="L84" i="10"/>
  <c r="M84" i="10"/>
  <c r="N84" i="10"/>
  <c r="Q84" i="10"/>
  <c r="R84" i="10"/>
  <c r="S84" i="10"/>
  <c r="L85" i="10"/>
  <c r="M26" i="10" l="1"/>
  <c r="O26" i="10"/>
  <c r="W26" i="10" s="1"/>
  <c r="W31" i="10"/>
  <c r="Q8" i="10"/>
  <c r="X8" i="10"/>
  <c r="V87" i="10"/>
  <c r="AC87" i="10"/>
  <c r="AB87" i="10"/>
  <c r="W37" i="10"/>
  <c r="O86" i="10"/>
  <c r="W86" i="10" s="1"/>
  <c r="G26" i="10"/>
  <c r="P26" i="10"/>
  <c r="X26" i="10" s="1"/>
  <c r="M73" i="10"/>
  <c r="S48" i="10"/>
  <c r="X48" i="10"/>
  <c r="Q48" i="10"/>
  <c r="H26" i="10"/>
  <c r="W48" i="10"/>
  <c r="R48" i="10"/>
  <c r="R15" i="10"/>
  <c r="P86" i="10"/>
  <c r="X86" i="10" s="1"/>
  <c r="S63" i="10"/>
  <c r="X63" i="10"/>
  <c r="R59" i="10"/>
  <c r="W59" i="10"/>
  <c r="Q55" i="10"/>
  <c r="X55" i="10"/>
  <c r="G8" i="10"/>
  <c r="O7" i="10"/>
  <c r="S52" i="10"/>
  <c r="X52" i="10"/>
  <c r="Q42" i="10"/>
  <c r="D8" i="10"/>
  <c r="L73" i="10"/>
  <c r="Q63" i="10"/>
  <c r="J7" i="10"/>
  <c r="J6" i="10" s="1"/>
  <c r="S15" i="10"/>
  <c r="I15" i="10"/>
  <c r="R8" i="10"/>
  <c r="H86" i="10"/>
  <c r="Q73" i="10"/>
  <c r="G73" i="10"/>
  <c r="Q59" i="10"/>
  <c r="L26" i="10"/>
  <c r="R37" i="10"/>
  <c r="P7" i="10"/>
  <c r="X7" i="10" s="1"/>
  <c r="Q31" i="10"/>
  <c r="H73" i="10"/>
  <c r="S66" i="10"/>
  <c r="L66" i="10"/>
  <c r="S59" i="10"/>
  <c r="Q52" i="10"/>
  <c r="N15" i="10"/>
  <c r="M15" i="10"/>
  <c r="B7" i="10"/>
  <c r="B6" i="10" s="1"/>
  <c r="B87" i="10" s="1"/>
  <c r="Q15" i="10"/>
  <c r="F86" i="10"/>
  <c r="G86" i="10" s="1"/>
  <c r="D73" i="10"/>
  <c r="L52" i="10"/>
  <c r="R42" i="10"/>
  <c r="S37" i="10"/>
  <c r="J86" i="10"/>
  <c r="M86" i="10" s="1"/>
  <c r="D26" i="10"/>
  <c r="D15" i="10"/>
  <c r="M8" i="10"/>
  <c r="F7" i="10"/>
  <c r="F6" i="10" s="1"/>
  <c r="S42" i="10"/>
  <c r="S31" i="10"/>
  <c r="L8" i="10"/>
  <c r="H8" i="10"/>
  <c r="R66" i="10"/>
  <c r="K7" i="10"/>
  <c r="C7" i="10"/>
  <c r="K86" i="10"/>
  <c r="C86" i="10"/>
  <c r="D86" i="10" s="1"/>
  <c r="R73" i="10"/>
  <c r="N73" i="10"/>
  <c r="Q66" i="10"/>
  <c r="M66" i="10"/>
  <c r="R63" i="10"/>
  <c r="L59" i="10"/>
  <c r="R52" i="10"/>
  <c r="L48" i="10"/>
  <c r="L42" i="10"/>
  <c r="Q37" i="10"/>
  <c r="M37" i="10"/>
  <c r="N26" i="10"/>
  <c r="L15" i="10"/>
  <c r="H15" i="10"/>
  <c r="S8" i="10"/>
  <c r="N8" i="10"/>
  <c r="S73" i="10"/>
  <c r="I73" i="10"/>
  <c r="L37" i="10"/>
  <c r="I26" i="10"/>
  <c r="G15" i="10"/>
  <c r="I8" i="10"/>
  <c r="E7" i="10"/>
  <c r="O6" i="10" l="1"/>
  <c r="W6" i="10" s="1"/>
  <c r="W7" i="10"/>
  <c r="S26" i="10"/>
  <c r="S86" i="10"/>
  <c r="P6" i="10"/>
  <c r="X6" i="10" s="1"/>
  <c r="R7" i="10"/>
  <c r="Q7" i="10"/>
  <c r="Q26" i="10"/>
  <c r="R86" i="10"/>
  <c r="R26" i="10"/>
  <c r="F87" i="10"/>
  <c r="Q86" i="10"/>
  <c r="E6" i="10"/>
  <c r="G6" i="10" s="1"/>
  <c r="H7" i="10"/>
  <c r="S7" i="10"/>
  <c r="D7" i="10"/>
  <c r="C6" i="10"/>
  <c r="G7" i="10"/>
  <c r="I86" i="10"/>
  <c r="M7" i="10"/>
  <c r="N86" i="10"/>
  <c r="L86" i="10"/>
  <c r="L7" i="10"/>
  <c r="K6" i="10"/>
  <c r="N7" i="10"/>
  <c r="I7" i="10"/>
  <c r="J87" i="10"/>
  <c r="R6" i="10"/>
  <c r="O87" i="10" l="1"/>
  <c r="W87" i="10" s="1"/>
  <c r="Q6" i="10"/>
  <c r="M6" i="10"/>
  <c r="C87" i="10"/>
  <c r="D87" i="10" s="1"/>
  <c r="D6" i="10"/>
  <c r="K87" i="10"/>
  <c r="N6" i="10"/>
  <c r="L6" i="10"/>
  <c r="P87" i="10"/>
  <c r="X87" i="10" s="1"/>
  <c r="S6" i="10"/>
  <c r="H6" i="10"/>
  <c r="E87" i="10"/>
  <c r="H87" i="10" s="1"/>
  <c r="I6" i="10"/>
  <c r="R87" i="10" l="1"/>
  <c r="I87" i="10"/>
  <c r="S87" i="10"/>
  <c r="M87" i="10"/>
  <c r="Q87" i="10"/>
  <c r="G87" i="10"/>
  <c r="L87" i="10"/>
  <c r="N87" i="10"/>
</calcChain>
</file>

<file path=xl/sharedStrings.xml><?xml version="1.0" encoding="utf-8"?>
<sst xmlns="http://schemas.openxmlformats.org/spreadsheetml/2006/main" count="121" uniqueCount="79">
  <si>
    <t>Наименование  показателя</t>
  </si>
  <si>
    <t>Доходы всего</t>
  </si>
  <si>
    <t xml:space="preserve">   в том числе собственные доходы</t>
  </si>
  <si>
    <t>план</t>
  </si>
  <si>
    <t>% исполнения</t>
  </si>
  <si>
    <t xml:space="preserve">      Налоговые доходы</t>
  </si>
  <si>
    <t xml:space="preserve">         налог на доходы физических лиц</t>
  </si>
  <si>
    <t xml:space="preserve">         единый налог на вмененный доход</t>
  </si>
  <si>
    <t xml:space="preserve">         единый налог, взимаемый с применением упрощенной системы налогообложения</t>
  </si>
  <si>
    <t xml:space="preserve">         задолженность прошлых лет</t>
  </si>
  <si>
    <t xml:space="preserve">         госпошлина</t>
  </si>
  <si>
    <t xml:space="preserve">      Неналоговые доходы</t>
  </si>
  <si>
    <t xml:space="preserve">         проценты, полученные от предоставления кредитов</t>
  </si>
  <si>
    <t xml:space="preserve">         арендная плата за землю</t>
  </si>
  <si>
    <t xml:space="preserve">         плата за негативное воздействие</t>
  </si>
  <si>
    <t xml:space="preserve">         штрафные санкции</t>
  </si>
  <si>
    <t xml:space="preserve">         прочие неналоговые доходы</t>
  </si>
  <si>
    <t xml:space="preserve">      Дотации</t>
  </si>
  <si>
    <t xml:space="preserve">      Субсидии</t>
  </si>
  <si>
    <t xml:space="preserve">      Субвенции</t>
  </si>
  <si>
    <t xml:space="preserve">   в том числе безвозмездные поступления</t>
  </si>
  <si>
    <t>Национальная безопасность и правоохранительная деятельность (03 00)</t>
  </si>
  <si>
    <t>Национальная экономика (04 00)</t>
  </si>
  <si>
    <t>Жилищно-комм. хозяйство (05 00)</t>
  </si>
  <si>
    <t>Образование (07 00)</t>
  </si>
  <si>
    <t>Социальная политика (10 00)</t>
  </si>
  <si>
    <t xml:space="preserve">         возврат субсидий и субвенций прошлых лет</t>
  </si>
  <si>
    <t xml:space="preserve">         прибыль муниципальных предприятий</t>
  </si>
  <si>
    <t xml:space="preserve">         прочие безвозмездные поступления</t>
  </si>
  <si>
    <t>2011 год</t>
  </si>
  <si>
    <t>Охрана окружающей среды (06 00)</t>
  </si>
  <si>
    <t>Здравоохранение (09 00)</t>
  </si>
  <si>
    <t>Физическая культура и спорт (11 00)</t>
  </si>
  <si>
    <t>Средства массовой информации (12 00)</t>
  </si>
  <si>
    <t>Обслуживание государственного и муниципального долга (13 00)</t>
  </si>
  <si>
    <t>Расходы в соответствии с разделами классификации расходов бюджетов Российской Федерации</t>
  </si>
  <si>
    <t>2012 год</t>
  </si>
  <si>
    <t>2012/2011 (факт)</t>
  </si>
  <si>
    <t xml:space="preserve">         аренда мун.имущества</t>
  </si>
  <si>
    <t xml:space="preserve">Национальная оборона (02 00) </t>
  </si>
  <si>
    <t>Межбюджетные трансферты поселениям по соответствующим разделам, в соответствии с бюджетной классификацией, в т.ч.:</t>
  </si>
  <si>
    <t>ИТОГО РАСХОДОВ</t>
  </si>
  <si>
    <t>2012/2011 (план)</t>
  </si>
  <si>
    <t>Результат исполнения бюджета                     (профицит '+', дефицит '-')</t>
  </si>
  <si>
    <t>2013 год</t>
  </si>
  <si>
    <t>на исполнение собственных полномочий</t>
  </si>
  <si>
    <t>на исполнение полномочий г.п. Никель</t>
  </si>
  <si>
    <t xml:space="preserve">      Иные межбюджетные трансферты, из них:</t>
  </si>
  <si>
    <t>на исполнение полномочий с.п. Корзуново</t>
  </si>
  <si>
    <t xml:space="preserve">         единый налог, взимаемый с применением патентной системой налогообложения</t>
  </si>
  <si>
    <t xml:space="preserve">Общегосударственные вопросы (01 00) </t>
  </si>
  <si>
    <t xml:space="preserve">Национальная безопасность (03 00) </t>
  </si>
  <si>
    <t>Культура (08 00)</t>
  </si>
  <si>
    <t xml:space="preserve">Культура (08 00), переданы для исполнения в г.п. Никель, в связи с невозможностью финансирования муниципального задания </t>
  </si>
  <si>
    <t xml:space="preserve">Физическая культура и спорт (11 00), переданы для исполнения в г.п. Никель, в связи с невозможностью финансирования муниципального задания </t>
  </si>
  <si>
    <t>в т.ч. раздел (01 13) Прочие общегосударственные (собственные полномочия)</t>
  </si>
  <si>
    <t>Общегосударственные вопросы (01 00), из них:</t>
  </si>
  <si>
    <t>на исполнение полномочий г.п. Печенга</t>
  </si>
  <si>
    <t>на исполнение полномочий г.п. Заполярный (по договору)</t>
  </si>
  <si>
    <t xml:space="preserve">факт                     </t>
  </si>
  <si>
    <t xml:space="preserve">факт                      </t>
  </si>
  <si>
    <t xml:space="preserve">факт                        </t>
  </si>
  <si>
    <t>2013/2012                   (план)</t>
  </si>
  <si>
    <t>2013/2012               (факт)</t>
  </si>
  <si>
    <t>2014 год</t>
  </si>
  <si>
    <t>2014/2013                   (план)</t>
  </si>
  <si>
    <t>2014/2013               (факт)</t>
  </si>
  <si>
    <t>2015 год</t>
  </si>
  <si>
    <t>2015/2014                   (план)</t>
  </si>
  <si>
    <t>2015/2014               (факт)</t>
  </si>
  <si>
    <t>Межбюджетные трансферты поселениям общего характера  (14 00)</t>
  </si>
  <si>
    <t xml:space="preserve">         доходы от реализации муниц-го имущества и оказания платных услуг</t>
  </si>
  <si>
    <t>2016 год</t>
  </si>
  <si>
    <t>2016/2015                   (план)</t>
  </si>
  <si>
    <t>2016/2015               (факт)</t>
  </si>
  <si>
    <t>Приложение № 1</t>
  </si>
  <si>
    <t>к   Заключению</t>
  </si>
  <si>
    <t>Общий анализ исполнения районного бюджета за 2016 год в сравнении с 2015 и 2014 годом</t>
  </si>
  <si>
    <t>Председатель Контрольно-счетной палаты муниципального образования Печенгский район________________Е.С. Скориков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</si>
</sst>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0.0"/>
    <numFmt numFmtId="167" formatCode="0.000"/>
  </numFmts>
  <fonts count="25" x14ac:knownFonts="1"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u/>
      <sz val="8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u/>
      <sz val="8"/>
      <color indexed="10"/>
      <name val="Times New Roman"/>
      <family val="1"/>
      <charset val="204"/>
    </font>
    <font>
      <b/>
      <i/>
      <sz val="7"/>
      <name val="Times New Roman"/>
      <family val="1"/>
      <charset val="204"/>
    </font>
    <font>
      <i/>
      <u/>
      <sz val="8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8"/>
      <name val="Times New Roman"/>
      <family val="1"/>
      <charset val="204"/>
    </font>
    <font>
      <sz val="8"/>
      <name val="Arial CYR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trike/>
      <sz val="10"/>
      <name val="Times New Roman"/>
      <family val="1"/>
      <charset val="204"/>
    </font>
    <font>
      <i/>
      <strike/>
      <sz val="10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" fontId="16" fillId="0" borderId="42">
      <alignment horizontal="right" shrinkToFit="1"/>
    </xf>
  </cellStyleXfs>
  <cellXfs count="252">
    <xf numFmtId="0" fontId="0" fillId="0" borderId="0" xfId="0"/>
    <xf numFmtId="0" fontId="1" fillId="0" borderId="0" xfId="0" applyFont="1"/>
    <xf numFmtId="0" fontId="2" fillId="0" borderId="0" xfId="0" applyFont="1" applyFill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7" fillId="0" borderId="0" xfId="0" applyFont="1" applyAlignment="1"/>
    <xf numFmtId="0" fontId="7" fillId="0" borderId="0" xfId="0" applyFont="1"/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" fontId="14" fillId="0" borderId="0" xfId="0" applyNumberFormat="1" applyFont="1"/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17" fillId="2" borderId="22" xfId="0" applyNumberFormat="1" applyFont="1" applyFill="1" applyBorder="1" applyAlignment="1">
      <alignment horizontal="center" vertical="center"/>
    </xf>
    <xf numFmtId="165" fontId="17" fillId="2" borderId="8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 wrapText="1"/>
    </xf>
    <xf numFmtId="165" fontId="17" fillId="2" borderId="27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 wrapText="1"/>
    </xf>
    <xf numFmtId="164" fontId="18" fillId="2" borderId="8" xfId="0" applyNumberFormat="1" applyFont="1" applyFill="1" applyBorder="1" applyAlignment="1">
      <alignment horizontal="center" vertical="center" wrapText="1"/>
    </xf>
    <xf numFmtId="164" fontId="18" fillId="2" borderId="10" xfId="0" applyNumberFormat="1" applyFont="1" applyFill="1" applyBorder="1" applyAlignment="1">
      <alignment horizontal="center" vertical="center" wrapText="1"/>
    </xf>
    <xf numFmtId="164" fontId="20" fillId="2" borderId="3" xfId="0" applyNumberFormat="1" applyFont="1" applyFill="1" applyBorder="1" applyAlignment="1">
      <alignment horizontal="center" vertical="center" wrapText="1"/>
    </xf>
    <xf numFmtId="164" fontId="20" fillId="2" borderId="8" xfId="0" applyNumberFormat="1" applyFont="1" applyFill="1" applyBorder="1" applyAlignment="1">
      <alignment horizontal="center" vertical="center" wrapText="1"/>
    </xf>
    <xf numFmtId="164" fontId="20" fillId="2" borderId="10" xfId="0" applyNumberFormat="1" applyFont="1" applyFill="1" applyBorder="1" applyAlignment="1">
      <alignment horizontal="center" vertical="center" wrapText="1"/>
    </xf>
    <xf numFmtId="164" fontId="20" fillId="2" borderId="31" xfId="0" applyNumberFormat="1" applyFont="1" applyFill="1" applyBorder="1" applyAlignment="1">
      <alignment horizontal="center" vertical="center" wrapText="1"/>
    </xf>
    <xf numFmtId="164" fontId="20" fillId="2" borderId="6" xfId="0" applyNumberFormat="1" applyFont="1" applyFill="1" applyBorder="1" applyAlignment="1">
      <alignment horizontal="center" vertical="center" wrapText="1"/>
    </xf>
    <xf numFmtId="164" fontId="20" fillId="2" borderId="7" xfId="0" applyNumberFormat="1" applyFont="1" applyFill="1" applyBorder="1" applyAlignment="1">
      <alignment horizontal="center" vertical="center" wrapText="1"/>
    </xf>
    <xf numFmtId="164" fontId="3" fillId="2" borderId="35" xfId="0" applyNumberFormat="1" applyFont="1" applyFill="1" applyBorder="1" applyAlignment="1">
      <alignment horizontal="center" vertical="center" wrapText="1"/>
    </xf>
    <xf numFmtId="164" fontId="3" fillId="2" borderId="34" xfId="0" applyNumberFormat="1" applyFont="1" applyFill="1" applyBorder="1" applyAlignment="1">
      <alignment horizontal="center" vertical="center" wrapText="1"/>
    </xf>
    <xf numFmtId="164" fontId="3" fillId="2" borderId="37" xfId="0" applyNumberFormat="1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0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5" fontId="18" fillId="0" borderId="8" xfId="0" applyNumberFormat="1" applyFont="1" applyBorder="1" applyAlignment="1">
      <alignment horizontal="center" vertical="center" shrinkToFit="1"/>
    </xf>
    <xf numFmtId="165" fontId="18" fillId="0" borderId="22" xfId="0" applyNumberFormat="1" applyFont="1" applyFill="1" applyBorder="1" applyAlignment="1">
      <alignment horizontal="center" vertical="center"/>
    </xf>
    <xf numFmtId="165" fontId="18" fillId="0" borderId="8" xfId="0" applyNumberFormat="1" applyFont="1" applyFill="1" applyBorder="1" applyAlignment="1">
      <alignment horizontal="center" vertical="center"/>
    </xf>
    <xf numFmtId="165" fontId="18" fillId="0" borderId="34" xfId="0" applyNumberFormat="1" applyFont="1" applyFill="1" applyBorder="1" applyAlignment="1" applyProtection="1">
      <alignment horizontal="center" vertical="center" shrinkToFit="1"/>
    </xf>
    <xf numFmtId="165" fontId="18" fillId="0" borderId="22" xfId="0" applyNumberFormat="1" applyFont="1" applyBorder="1" applyAlignment="1">
      <alignment horizontal="center" vertical="center"/>
    </xf>
    <xf numFmtId="165" fontId="18" fillId="0" borderId="8" xfId="0" applyNumberFormat="1" applyFont="1" applyBorder="1" applyAlignment="1">
      <alignment horizontal="center" vertical="center"/>
    </xf>
    <xf numFmtId="165" fontId="18" fillId="0" borderId="27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65" fontId="18" fillId="3" borderId="22" xfId="0" applyNumberFormat="1" applyFont="1" applyFill="1" applyBorder="1" applyAlignment="1">
      <alignment horizontal="center" vertical="center"/>
    </xf>
    <xf numFmtId="165" fontId="18" fillId="3" borderId="8" xfId="0" applyNumberFormat="1" applyFont="1" applyFill="1" applyBorder="1" applyAlignment="1">
      <alignment horizontal="center" vertical="center"/>
    </xf>
    <xf numFmtId="165" fontId="18" fillId="0" borderId="27" xfId="0" applyNumberFormat="1" applyFont="1" applyBorder="1" applyAlignment="1">
      <alignment horizontal="center" vertical="center" shrinkToFit="1"/>
    </xf>
    <xf numFmtId="165" fontId="18" fillId="0" borderId="6" xfId="0" applyNumberFormat="1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wrapText="1"/>
    </xf>
    <xf numFmtId="165" fontId="20" fillId="0" borderId="5" xfId="0" applyNumberFormat="1" applyFont="1" applyBorder="1" applyAlignment="1">
      <alignment horizontal="center" vertical="center" shrinkToFit="1"/>
    </xf>
    <xf numFmtId="165" fontId="20" fillId="0" borderId="6" xfId="0" applyNumberFormat="1" applyFont="1" applyBorder="1" applyAlignment="1">
      <alignment horizontal="center" vertical="center" shrinkToFit="1"/>
    </xf>
    <xf numFmtId="165" fontId="20" fillId="0" borderId="22" xfId="0" applyNumberFormat="1" applyFont="1" applyBorder="1" applyAlignment="1">
      <alignment horizontal="center" vertical="center" shrinkToFit="1"/>
    </xf>
    <xf numFmtId="165" fontId="20" fillId="0" borderId="8" xfId="0" applyNumberFormat="1" applyFont="1" applyBorder="1" applyAlignment="1">
      <alignment horizontal="center" vertical="center" shrinkToFit="1"/>
    </xf>
    <xf numFmtId="165" fontId="20" fillId="0" borderId="34" xfId="0" applyNumberFormat="1" applyFont="1" applyFill="1" applyBorder="1" applyAlignment="1" applyProtection="1">
      <alignment horizontal="center" vertical="center" shrinkToFit="1"/>
    </xf>
    <xf numFmtId="165" fontId="20" fillId="0" borderId="22" xfId="0" applyNumberFormat="1" applyFont="1" applyBorder="1" applyAlignment="1">
      <alignment horizontal="center" vertical="center"/>
    </xf>
    <xf numFmtId="165" fontId="20" fillId="0" borderId="8" xfId="0" applyNumberFormat="1" applyFont="1" applyBorder="1" applyAlignment="1">
      <alignment horizontal="center" vertical="center"/>
    </xf>
    <xf numFmtId="165" fontId="20" fillId="0" borderId="27" xfId="0" applyNumberFormat="1" applyFont="1" applyBorder="1" applyAlignment="1">
      <alignment horizontal="center" vertical="center" shrinkToFit="1"/>
    </xf>
    <xf numFmtId="0" fontId="19" fillId="0" borderId="30" xfId="0" applyFont="1" applyBorder="1" applyAlignment="1">
      <alignment horizontal="center" vertical="center" wrapText="1"/>
    </xf>
    <xf numFmtId="165" fontId="20" fillId="0" borderId="5" xfId="0" applyNumberFormat="1" applyFont="1" applyBorder="1" applyAlignment="1">
      <alignment horizontal="center" vertical="center"/>
    </xf>
    <xf numFmtId="165" fontId="20" fillId="0" borderId="6" xfId="0" applyNumberFormat="1" applyFont="1" applyBorder="1" applyAlignment="1">
      <alignment horizontal="center" vertical="center"/>
    </xf>
    <xf numFmtId="165" fontId="20" fillId="0" borderId="29" xfId="0" applyNumberFormat="1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wrapText="1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center" vertical="center"/>
    </xf>
    <xf numFmtId="165" fontId="3" fillId="0" borderId="36" xfId="0" applyNumberFormat="1" applyFont="1" applyFill="1" applyBorder="1" applyAlignment="1">
      <alignment horizontal="center" vertical="center" shrinkToFit="1"/>
    </xf>
    <xf numFmtId="165" fontId="3" fillId="0" borderId="34" xfId="0" applyNumberFormat="1" applyFont="1" applyFill="1" applyBorder="1" applyAlignment="1">
      <alignment horizontal="center" vertical="center" shrinkToFit="1"/>
    </xf>
    <xf numFmtId="165" fontId="3" fillId="0" borderId="33" xfId="0" applyNumberFormat="1" applyFont="1" applyFill="1" applyBorder="1" applyAlignment="1">
      <alignment horizontal="center" vertical="center" shrinkToFit="1"/>
    </xf>
    <xf numFmtId="0" fontId="20" fillId="0" borderId="12" xfId="0" applyFont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/>
    </xf>
    <xf numFmtId="165" fontId="20" fillId="0" borderId="8" xfId="0" applyNumberFormat="1" applyFont="1" applyFill="1" applyBorder="1" applyAlignment="1">
      <alignment horizontal="center" vertical="center"/>
    </xf>
    <xf numFmtId="165" fontId="20" fillId="0" borderId="22" xfId="0" applyNumberFormat="1" applyFont="1" applyFill="1" applyBorder="1" applyAlignment="1">
      <alignment horizontal="center" vertical="center" shrinkToFit="1"/>
    </xf>
    <xf numFmtId="165" fontId="20" fillId="0" borderId="8" xfId="0" applyNumberFormat="1" applyFont="1" applyFill="1" applyBorder="1" applyAlignment="1">
      <alignment horizontal="center" vertical="center" shrinkToFit="1"/>
    </xf>
    <xf numFmtId="4" fontId="20" fillId="0" borderId="27" xfId="0" applyNumberFormat="1" applyFont="1" applyFill="1" applyBorder="1" applyAlignment="1">
      <alignment horizontal="center" vertical="center" shrinkToFit="1"/>
    </xf>
    <xf numFmtId="4" fontId="20" fillId="0" borderId="8" xfId="0" applyNumberFormat="1" applyFont="1" applyFill="1" applyBorder="1" applyAlignment="1">
      <alignment horizontal="center" vertical="center" shrinkToFit="1"/>
    </xf>
    <xf numFmtId="165" fontId="20" fillId="0" borderId="27" xfId="0" applyNumberFormat="1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 shrinkToFit="1"/>
    </xf>
    <xf numFmtId="165" fontId="3" fillId="0" borderId="8" xfId="0" applyNumberFormat="1" applyFont="1" applyFill="1" applyBorder="1" applyAlignment="1">
      <alignment horizontal="center" vertical="center" shrinkToFit="1"/>
    </xf>
    <xf numFmtId="165" fontId="3" fillId="0" borderId="27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 shrinkToFit="1"/>
    </xf>
    <xf numFmtId="165" fontId="20" fillId="0" borderId="27" xfId="0" applyNumberFormat="1" applyFont="1" applyFill="1" applyBorder="1" applyAlignment="1">
      <alignment horizontal="center" vertical="center" shrinkToFit="1"/>
    </xf>
    <xf numFmtId="165" fontId="3" fillId="0" borderId="22" xfId="0" applyNumberFormat="1" applyFont="1" applyBorder="1" applyAlignment="1">
      <alignment horizontal="center" vertical="center"/>
    </xf>
    <xf numFmtId="165" fontId="3" fillId="3" borderId="27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 applyProtection="1">
      <alignment horizontal="center" vertical="center" shrinkToFit="1"/>
    </xf>
    <xf numFmtId="165" fontId="19" fillId="3" borderId="27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 shrinkToFit="1"/>
    </xf>
    <xf numFmtId="165" fontId="19" fillId="0" borderId="8" xfId="0" applyNumberFormat="1" applyFont="1" applyFill="1" applyBorder="1" applyAlignment="1">
      <alignment horizontal="center" vertical="center" shrinkToFit="1"/>
    </xf>
    <xf numFmtId="165" fontId="19" fillId="0" borderId="27" xfId="0" applyNumberFormat="1" applyFont="1" applyFill="1" applyBorder="1" applyAlignment="1">
      <alignment horizontal="center" vertical="center" shrinkToFit="1"/>
    </xf>
    <xf numFmtId="165" fontId="19" fillId="0" borderId="27" xfId="0" applyNumberFormat="1" applyFont="1" applyBorder="1" applyAlignment="1">
      <alignment horizontal="center" vertical="center"/>
    </xf>
    <xf numFmtId="165" fontId="19" fillId="0" borderId="8" xfId="0" applyNumberFormat="1" applyFont="1" applyBorder="1" applyAlignment="1">
      <alignment horizontal="center" vertical="center"/>
    </xf>
    <xf numFmtId="165" fontId="19" fillId="0" borderId="29" xfId="0" applyNumberFormat="1" applyFont="1" applyBorder="1" applyAlignment="1">
      <alignment horizontal="center" vertical="center"/>
    </xf>
    <xf numFmtId="165" fontId="19" fillId="0" borderId="6" xfId="0" applyNumberFormat="1" applyFont="1" applyBorder="1" applyAlignment="1">
      <alignment horizontal="center" vertical="center"/>
    </xf>
    <xf numFmtId="164" fontId="18" fillId="6" borderId="8" xfId="0" applyNumberFormat="1" applyFont="1" applyFill="1" applyBorder="1" applyAlignment="1">
      <alignment horizontal="center" vertical="center" wrapText="1"/>
    </xf>
    <xf numFmtId="164" fontId="18" fillId="6" borderId="10" xfId="0" applyNumberFormat="1" applyFont="1" applyFill="1" applyBorder="1" applyAlignment="1">
      <alignment horizontal="center" vertical="center" wrapText="1"/>
    </xf>
    <xf numFmtId="165" fontId="18" fillId="6" borderId="27" xfId="0" applyNumberFormat="1" applyFont="1" applyFill="1" applyBorder="1" applyAlignment="1">
      <alignment horizontal="center" vertical="center"/>
    </xf>
    <xf numFmtId="165" fontId="18" fillId="6" borderId="34" xfId="0" applyNumberFormat="1" applyFont="1" applyFill="1" applyBorder="1" applyAlignment="1" applyProtection="1">
      <alignment horizontal="center" vertical="center" shrinkToFit="1"/>
    </xf>
    <xf numFmtId="0" fontId="22" fillId="6" borderId="12" xfId="0" applyFont="1" applyFill="1" applyBorder="1" applyAlignment="1">
      <alignment horizontal="center" vertical="center" wrapText="1"/>
    </xf>
    <xf numFmtId="165" fontId="22" fillId="6" borderId="27" xfId="0" applyNumberFormat="1" applyFont="1" applyFill="1" applyBorder="1" applyAlignment="1">
      <alignment horizontal="center" vertical="center"/>
    </xf>
    <xf numFmtId="165" fontId="22" fillId="6" borderId="8" xfId="0" applyNumberFormat="1" applyFont="1" applyFill="1" applyBorder="1" applyAlignment="1">
      <alignment horizontal="center" vertical="center"/>
    </xf>
    <xf numFmtId="164" fontId="23" fillId="6" borderId="3" xfId="0" applyNumberFormat="1" applyFont="1" applyFill="1" applyBorder="1" applyAlignment="1">
      <alignment horizontal="center" vertical="center" wrapText="1"/>
    </xf>
    <xf numFmtId="165" fontId="22" fillId="6" borderId="22" xfId="0" applyNumberFormat="1" applyFont="1" applyFill="1" applyBorder="1" applyAlignment="1">
      <alignment horizontal="center" vertical="center" shrinkToFit="1"/>
    </xf>
    <xf numFmtId="164" fontId="23" fillId="6" borderId="8" xfId="0" applyNumberFormat="1" applyFont="1" applyFill="1" applyBorder="1" applyAlignment="1">
      <alignment horizontal="center" vertical="center" wrapText="1"/>
    </xf>
    <xf numFmtId="164" fontId="22" fillId="6" borderId="8" xfId="0" applyNumberFormat="1" applyFont="1" applyFill="1" applyBorder="1" applyAlignment="1">
      <alignment horizontal="center" vertical="center" wrapText="1"/>
    </xf>
    <xf numFmtId="164" fontId="23" fillId="6" borderId="10" xfId="0" applyNumberFormat="1" applyFont="1" applyFill="1" applyBorder="1" applyAlignment="1">
      <alignment horizontal="center" vertical="center" wrapText="1"/>
    </xf>
    <xf numFmtId="165" fontId="22" fillId="6" borderId="27" xfId="0" applyNumberFormat="1" applyFont="1" applyFill="1" applyBorder="1" applyAlignment="1">
      <alignment horizontal="center" vertical="center" shrinkToFit="1"/>
    </xf>
    <xf numFmtId="164" fontId="22" fillId="6" borderId="10" xfId="0" applyNumberFormat="1" applyFont="1" applyFill="1" applyBorder="1" applyAlignment="1">
      <alignment horizontal="center" vertical="center" wrapText="1"/>
    </xf>
    <xf numFmtId="164" fontId="22" fillId="6" borderId="3" xfId="0" applyNumberFormat="1" applyFont="1" applyFill="1" applyBorder="1" applyAlignment="1">
      <alignment horizontal="center" vertical="center" wrapText="1"/>
    </xf>
    <xf numFmtId="165" fontId="18" fillId="6" borderId="22" xfId="0" applyNumberFormat="1" applyFont="1" applyFill="1" applyBorder="1" applyAlignment="1">
      <alignment horizontal="center" vertical="center"/>
    </xf>
    <xf numFmtId="165" fontId="18" fillId="6" borderId="8" xfId="0" applyNumberFormat="1" applyFont="1" applyFill="1" applyBorder="1" applyAlignment="1">
      <alignment horizontal="center" vertical="center" shrinkToFit="1"/>
    </xf>
    <xf numFmtId="164" fontId="18" fillId="6" borderId="3" xfId="0" applyNumberFormat="1" applyFont="1" applyFill="1" applyBorder="1" applyAlignment="1">
      <alignment horizontal="center" vertical="center" wrapText="1"/>
    </xf>
    <xf numFmtId="165" fontId="18" fillId="6" borderId="8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5" fontId="17" fillId="2" borderId="33" xfId="0" applyNumberFormat="1" applyFont="1" applyFill="1" applyBorder="1" applyAlignment="1">
      <alignment horizontal="center" vertical="center"/>
    </xf>
    <xf numFmtId="165" fontId="17" fillId="2" borderId="34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2" fillId="0" borderId="0" xfId="0" applyNumberFormat="1" applyFont="1" applyFill="1"/>
    <xf numFmtId="167" fontId="2" fillId="0" borderId="0" xfId="0" applyNumberFormat="1" applyFont="1" applyFill="1"/>
    <xf numFmtId="1" fontId="3" fillId="0" borderId="2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18" fillId="0" borderId="27" xfId="0" applyNumberFormat="1" applyFont="1" applyFill="1" applyBorder="1" applyAlignment="1">
      <alignment horizontal="center" vertical="center"/>
    </xf>
    <xf numFmtId="165" fontId="18" fillId="0" borderId="27" xfId="0" applyNumberFormat="1" applyFont="1" applyFill="1" applyBorder="1" applyAlignment="1">
      <alignment horizontal="center" vertical="center" shrinkToFit="1"/>
    </xf>
    <xf numFmtId="165" fontId="18" fillId="0" borderId="8" xfId="0" applyNumberFormat="1" applyFont="1" applyFill="1" applyBorder="1" applyAlignment="1">
      <alignment horizontal="center" vertical="center" shrinkToFit="1"/>
    </xf>
    <xf numFmtId="165" fontId="18" fillId="4" borderId="27" xfId="0" applyNumberFormat="1" applyFont="1" applyFill="1" applyBorder="1" applyAlignment="1">
      <alignment horizontal="center" vertical="center"/>
    </xf>
    <xf numFmtId="165" fontId="18" fillId="4" borderId="8" xfId="0" applyNumberFormat="1" applyFont="1" applyFill="1" applyBorder="1" applyAlignment="1">
      <alignment horizontal="center" vertical="center"/>
    </xf>
    <xf numFmtId="165" fontId="17" fillId="4" borderId="33" xfId="0" applyNumberFormat="1" applyFont="1" applyFill="1" applyBorder="1" applyAlignment="1">
      <alignment horizontal="center" vertical="center"/>
    </xf>
    <xf numFmtId="165" fontId="17" fillId="4" borderId="34" xfId="0" applyNumberFormat="1" applyFont="1" applyFill="1" applyBorder="1" applyAlignment="1">
      <alignment horizontal="center" vertical="center"/>
    </xf>
    <xf numFmtId="165" fontId="18" fillId="4" borderId="34" xfId="0" applyNumberFormat="1" applyFont="1" applyFill="1" applyBorder="1" applyAlignment="1" applyProtection="1">
      <alignment horizontal="center" vertical="center" shrinkToFit="1"/>
    </xf>
    <xf numFmtId="165" fontId="20" fillId="4" borderId="34" xfId="0" applyNumberFormat="1" applyFont="1" applyFill="1" applyBorder="1" applyAlignment="1" applyProtection="1">
      <alignment horizontal="center" vertical="center" shrinkToFit="1"/>
    </xf>
    <xf numFmtId="165" fontId="20" fillId="4" borderId="27" xfId="0" applyNumberFormat="1" applyFont="1" applyFill="1" applyBorder="1" applyAlignment="1">
      <alignment horizontal="center" vertical="center" shrinkToFit="1"/>
    </xf>
    <xf numFmtId="165" fontId="20" fillId="4" borderId="8" xfId="0" applyNumberFormat="1" applyFont="1" applyFill="1" applyBorder="1" applyAlignment="1">
      <alignment horizontal="center" vertical="center" shrinkToFit="1"/>
    </xf>
    <xf numFmtId="166" fontId="3" fillId="0" borderId="34" xfId="0" applyNumberFormat="1" applyFont="1" applyBorder="1" applyAlignment="1">
      <alignment horizontal="center" vertical="center" wrapText="1"/>
    </xf>
    <xf numFmtId="165" fontId="20" fillId="0" borderId="8" xfId="0" applyNumberFormat="1" applyFont="1" applyBorder="1" applyAlignment="1">
      <alignment horizontal="center" vertical="center" wrapText="1"/>
    </xf>
    <xf numFmtId="165" fontId="18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20" fillId="4" borderId="8" xfId="0" applyNumberFormat="1" applyFont="1" applyFill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 wrapText="1"/>
    </xf>
    <xf numFmtId="165" fontId="3" fillId="4" borderId="42" xfId="1" applyNumberFormat="1" applyFont="1" applyFill="1" applyAlignment="1" applyProtection="1">
      <alignment horizontal="center" vertical="center" shrinkToFit="1"/>
    </xf>
    <xf numFmtId="165" fontId="18" fillId="4" borderId="8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center" vertical="center" wrapText="1"/>
    </xf>
    <xf numFmtId="165" fontId="3" fillId="0" borderId="42" xfId="1" applyNumberFormat="1" applyFont="1" applyAlignment="1" applyProtection="1">
      <alignment horizontal="center" vertical="center" shrinkToFit="1"/>
    </xf>
    <xf numFmtId="4" fontId="3" fillId="4" borderId="8" xfId="0" applyNumberFormat="1" applyFont="1" applyFill="1" applyBorder="1" applyAlignment="1">
      <alignment horizontal="center" vertical="center" wrapText="1"/>
    </xf>
    <xf numFmtId="165" fontId="3" fillId="4" borderId="8" xfId="0" applyNumberFormat="1" applyFont="1" applyFill="1" applyBorder="1" applyAlignment="1">
      <alignment horizontal="center" vertical="center" wrapText="1"/>
    </xf>
    <xf numFmtId="165" fontId="19" fillId="4" borderId="8" xfId="0" applyNumberFormat="1" applyFont="1" applyFill="1" applyBorder="1" applyAlignment="1">
      <alignment horizontal="center" vertical="center" wrapText="1"/>
    </xf>
    <xf numFmtId="165" fontId="22" fillId="4" borderId="8" xfId="0" applyNumberFormat="1" applyFont="1" applyFill="1" applyBorder="1" applyAlignment="1">
      <alignment horizontal="center" vertical="center" wrapText="1"/>
    </xf>
    <xf numFmtId="165" fontId="19" fillId="4" borderId="3" xfId="0" applyNumberFormat="1" applyFont="1" applyFill="1" applyBorder="1" applyAlignment="1">
      <alignment horizontal="center" vertical="center" wrapText="1"/>
    </xf>
    <xf numFmtId="165" fontId="22" fillId="5" borderId="31" xfId="0" applyNumberFormat="1" applyFont="1" applyFill="1" applyBorder="1" applyAlignment="1">
      <alignment horizontal="center" vertical="center" wrapText="1"/>
    </xf>
    <xf numFmtId="165" fontId="22" fillId="5" borderId="8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1" fontId="7" fillId="4" borderId="0" xfId="0" applyNumberFormat="1" applyFont="1" applyFill="1"/>
    <xf numFmtId="0" fontId="1" fillId="0" borderId="0" xfId="0" applyFont="1" applyAlignment="1"/>
    <xf numFmtId="1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/>
    <xf numFmtId="1" fontId="1" fillId="0" borderId="0" xfId="0" applyNumberFormat="1" applyFont="1"/>
    <xf numFmtId="165" fontId="1" fillId="0" borderId="0" xfId="0" applyNumberFormat="1" applyFont="1"/>
    <xf numFmtId="164" fontId="3" fillId="7" borderId="13" xfId="0" applyNumberFormat="1" applyFont="1" applyFill="1" applyBorder="1" applyAlignment="1">
      <alignment horizontal="center" vertical="center" wrapText="1"/>
    </xf>
    <xf numFmtId="164" fontId="3" fillId="7" borderId="9" xfId="0" applyNumberFormat="1" applyFont="1" applyFill="1" applyBorder="1" applyAlignment="1">
      <alignment horizontal="center" vertical="center" wrapText="1"/>
    </xf>
    <xf numFmtId="164" fontId="20" fillId="7" borderId="6" xfId="0" applyNumberFormat="1" applyFont="1" applyFill="1" applyBorder="1" applyAlignment="1">
      <alignment horizontal="center" vertical="center" wrapText="1"/>
    </xf>
    <xf numFmtId="164" fontId="3" fillId="7" borderId="44" xfId="0" applyNumberFormat="1" applyFont="1" applyFill="1" applyBorder="1" applyAlignment="1">
      <alignment horizontal="center" vertical="center" wrapText="1"/>
    </xf>
    <xf numFmtId="164" fontId="3" fillId="7" borderId="45" xfId="0" applyNumberFormat="1" applyFont="1" applyFill="1" applyBorder="1" applyAlignment="1">
      <alignment horizontal="center" vertical="center" wrapText="1"/>
    </xf>
    <xf numFmtId="164" fontId="20" fillId="7" borderId="16" xfId="0" applyNumberFormat="1" applyFont="1" applyFill="1" applyBorder="1" applyAlignment="1">
      <alignment horizontal="center" vertical="center" wrapText="1"/>
    </xf>
    <xf numFmtId="164" fontId="20" fillId="7" borderId="46" xfId="0" applyNumberFormat="1" applyFont="1" applyFill="1" applyBorder="1" applyAlignment="1">
      <alignment horizontal="center" vertical="center" wrapText="1"/>
    </xf>
    <xf numFmtId="164" fontId="20" fillId="7" borderId="7" xfId="0" applyNumberFormat="1" applyFont="1" applyFill="1" applyBorder="1" applyAlignment="1">
      <alignment horizontal="center" vertical="center" wrapText="1"/>
    </xf>
    <xf numFmtId="164" fontId="23" fillId="7" borderId="6" xfId="0" applyNumberFormat="1" applyFont="1" applyFill="1" applyBorder="1" applyAlignment="1">
      <alignment horizontal="center" vertical="center" wrapText="1"/>
    </xf>
    <xf numFmtId="164" fontId="23" fillId="7" borderId="7" xfId="0" applyNumberFormat="1" applyFont="1" applyFill="1" applyBorder="1" applyAlignment="1">
      <alignment horizontal="center" vertical="center" wrapText="1"/>
    </xf>
    <xf numFmtId="164" fontId="20" fillId="7" borderId="8" xfId="0" applyNumberFormat="1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165" fontId="3" fillId="7" borderId="23" xfId="0" applyNumberFormat="1" applyFont="1" applyFill="1" applyBorder="1" applyAlignment="1">
      <alignment horizontal="center" vertical="center"/>
    </xf>
    <xf numFmtId="165" fontId="3" fillId="7" borderId="18" xfId="0" applyNumberFormat="1" applyFont="1" applyFill="1" applyBorder="1" applyAlignment="1">
      <alignment horizontal="center" vertical="center"/>
    </xf>
    <xf numFmtId="164" fontId="3" fillId="7" borderId="19" xfId="0" applyNumberFormat="1" applyFont="1" applyFill="1" applyBorder="1" applyAlignment="1">
      <alignment horizontal="center" vertical="center" wrapText="1"/>
    </xf>
    <xf numFmtId="165" fontId="3" fillId="7" borderId="25" xfId="0" applyNumberFormat="1" applyFont="1" applyFill="1" applyBorder="1" applyAlignment="1">
      <alignment horizontal="center" vertical="center"/>
    </xf>
    <xf numFmtId="165" fontId="3" fillId="7" borderId="16" xfId="0" applyNumberFormat="1" applyFont="1" applyFill="1" applyBorder="1" applyAlignment="1">
      <alignment horizontal="center" vertical="center"/>
    </xf>
    <xf numFmtId="164" fontId="3" fillId="7" borderId="16" xfId="0" applyNumberFormat="1" applyFont="1" applyFill="1" applyBorder="1" applyAlignment="1">
      <alignment horizontal="center" vertical="center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3" fillId="7" borderId="18" xfId="0" applyNumberFormat="1" applyFont="1" applyFill="1" applyBorder="1" applyAlignment="1">
      <alignment horizontal="center" vertical="center" wrapText="1"/>
    </xf>
    <xf numFmtId="164" fontId="3" fillId="7" borderId="14" xfId="0" applyNumberFormat="1" applyFont="1" applyFill="1" applyBorder="1" applyAlignment="1">
      <alignment horizontal="center" vertical="center" wrapText="1"/>
    </xf>
    <xf numFmtId="3" fontId="3" fillId="7" borderId="43" xfId="0" applyNumberFormat="1" applyFont="1" applyFill="1" applyBorder="1" applyAlignment="1">
      <alignment horizontal="center" vertical="center" wrapText="1"/>
    </xf>
    <xf numFmtId="3" fontId="3" fillId="7" borderId="8" xfId="0" applyNumberFormat="1" applyFont="1" applyFill="1" applyBorder="1" applyAlignment="1">
      <alignment horizontal="center" vertical="center" wrapText="1"/>
    </xf>
    <xf numFmtId="165" fontId="3" fillId="7" borderId="22" xfId="0" applyNumberFormat="1" applyFont="1" applyFill="1" applyBorder="1" applyAlignment="1">
      <alignment horizontal="center" vertical="center"/>
    </xf>
    <xf numFmtId="165" fontId="3" fillId="7" borderId="8" xfId="0" applyNumberFormat="1" applyFont="1" applyFill="1" applyBorder="1" applyAlignment="1">
      <alignment horizontal="center" vertical="center"/>
    </xf>
    <xf numFmtId="164" fontId="3" fillId="7" borderId="3" xfId="0" applyNumberFormat="1" applyFont="1" applyFill="1" applyBorder="1" applyAlignment="1">
      <alignment horizontal="center" vertical="center" wrapText="1"/>
    </xf>
    <xf numFmtId="164" fontId="3" fillId="7" borderId="8" xfId="0" applyNumberFormat="1" applyFont="1" applyFill="1" applyBorder="1" applyAlignment="1">
      <alignment horizontal="center" vertical="center" wrapText="1"/>
    </xf>
    <xf numFmtId="164" fontId="3" fillId="7" borderId="10" xfId="0" applyNumberFormat="1" applyFont="1" applyFill="1" applyBorder="1" applyAlignment="1">
      <alignment horizontal="center" vertical="center" wrapText="1"/>
    </xf>
    <xf numFmtId="165" fontId="3" fillId="7" borderId="27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 wrapText="1"/>
    </xf>
    <xf numFmtId="165" fontId="3" fillId="7" borderId="24" xfId="0" applyNumberFormat="1" applyFont="1" applyFill="1" applyBorder="1" applyAlignment="1">
      <alignment horizontal="center" vertical="center"/>
    </xf>
    <xf numFmtId="165" fontId="3" fillId="7" borderId="13" xfId="0" applyNumberFormat="1" applyFont="1" applyFill="1" applyBorder="1" applyAlignment="1">
      <alignment horizontal="center" vertical="center"/>
    </xf>
    <xf numFmtId="164" fontId="3" fillId="7" borderId="4" xfId="0" applyNumberFormat="1" applyFont="1" applyFill="1" applyBorder="1" applyAlignment="1">
      <alignment horizontal="center" vertical="center" wrapText="1"/>
    </xf>
    <xf numFmtId="165" fontId="3" fillId="7" borderId="26" xfId="0" applyNumberFormat="1" applyFont="1" applyFill="1" applyBorder="1" applyAlignment="1">
      <alignment horizontal="center" vertical="center"/>
    </xf>
    <xf numFmtId="3" fontId="3" fillId="7" borderId="26" xfId="0" applyNumberFormat="1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165" fontId="17" fillId="7" borderId="22" xfId="0" applyNumberFormat="1" applyFont="1" applyFill="1" applyBorder="1" applyAlignment="1">
      <alignment horizontal="center" vertical="center"/>
    </xf>
    <xf numFmtId="165" fontId="17" fillId="7" borderId="8" xfId="0" applyNumberFormat="1" applyFont="1" applyFill="1" applyBorder="1" applyAlignment="1">
      <alignment horizontal="center" vertical="center"/>
    </xf>
    <xf numFmtId="165" fontId="17" fillId="7" borderId="27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64" fontId="18" fillId="7" borderId="8" xfId="0" applyNumberFormat="1" applyFont="1" applyFill="1" applyBorder="1" applyAlignment="1">
      <alignment horizontal="center" vertical="center" wrapText="1"/>
    </xf>
    <xf numFmtId="164" fontId="18" fillId="7" borderId="10" xfId="0" applyNumberFormat="1" applyFont="1" applyFill="1" applyBorder="1" applyAlignment="1">
      <alignment horizontal="center" vertical="center" wrapText="1"/>
    </xf>
    <xf numFmtId="164" fontId="20" fillId="7" borderId="10" xfId="0" applyNumberFormat="1" applyFont="1" applyFill="1" applyBorder="1" applyAlignment="1">
      <alignment horizontal="center" vertical="center" wrapText="1"/>
    </xf>
    <xf numFmtId="164" fontId="3" fillId="7" borderId="34" xfId="0" applyNumberFormat="1" applyFont="1" applyFill="1" applyBorder="1" applyAlignment="1">
      <alignment horizontal="center" vertical="center" wrapText="1"/>
    </xf>
    <xf numFmtId="164" fontId="3" fillId="7" borderId="35" xfId="0" applyNumberFormat="1" applyFont="1" applyFill="1" applyBorder="1" applyAlignment="1">
      <alignment horizontal="center" vertical="center" wrapText="1"/>
    </xf>
    <xf numFmtId="164" fontId="20" fillId="7" borderId="3" xfId="0" applyNumberFormat="1" applyFont="1" applyFill="1" applyBorder="1" applyAlignment="1">
      <alignment horizontal="center" vertical="center" wrapText="1"/>
    </xf>
    <xf numFmtId="164" fontId="19" fillId="7" borderId="8" xfId="0" applyNumberFormat="1" applyFont="1" applyFill="1" applyBorder="1" applyAlignment="1">
      <alignment horizontal="center" vertical="center" wrapText="1"/>
    </xf>
    <xf numFmtId="164" fontId="19" fillId="7" borderId="3" xfId="0" applyNumberFormat="1" applyFont="1" applyFill="1" applyBorder="1" applyAlignment="1">
      <alignment horizontal="center" vertical="center" wrapText="1"/>
    </xf>
    <xf numFmtId="164" fontId="22" fillId="7" borderId="8" xfId="0" applyNumberFormat="1" applyFont="1" applyFill="1" applyBorder="1" applyAlignment="1">
      <alignment horizontal="center" vertical="center" wrapText="1"/>
    </xf>
    <xf numFmtId="164" fontId="22" fillId="7" borderId="3" xfId="0" applyNumberFormat="1" applyFont="1" applyFill="1" applyBorder="1" applyAlignment="1">
      <alignment horizontal="center" vertical="center" wrapText="1"/>
    </xf>
    <xf numFmtId="164" fontId="3" fillId="7" borderId="20" xfId="0" applyNumberFormat="1" applyFont="1" applyFill="1" applyBorder="1" applyAlignment="1">
      <alignment horizontal="center" vertical="center" wrapText="1"/>
    </xf>
    <xf numFmtId="164" fontId="3" fillId="7" borderId="39" xfId="0" applyNumberFormat="1" applyFont="1" applyFill="1" applyBorder="1" applyAlignment="1">
      <alignment horizontal="center" vertical="center" wrapText="1"/>
    </xf>
    <xf numFmtId="165" fontId="18" fillId="0" borderId="29" xfId="0" applyNumberFormat="1" applyFont="1" applyBorder="1" applyAlignment="1">
      <alignment horizontal="center" vertical="center" shrinkToFit="1"/>
    </xf>
    <xf numFmtId="0" fontId="18" fillId="0" borderId="8" xfId="0" applyFont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64" fontId="3" fillId="7" borderId="8" xfId="0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wrapText="1"/>
    </xf>
    <xf numFmtId="0" fontId="0" fillId="0" borderId="47" xfId="0" applyFont="1" applyBorder="1" applyAlignment="1"/>
  </cellXfs>
  <cellStyles count="2">
    <cellStyle name="xl54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"/>
  <sheetViews>
    <sheetView tabSelected="1" zoomScale="55" zoomScaleNormal="55" workbookViewId="0">
      <pane ySplit="5" topLeftCell="A55" activePane="bottomLeft" state="frozen"/>
      <selection pane="bottomLeft" activeCell="AA87" sqref="AA87"/>
    </sheetView>
  </sheetViews>
  <sheetFormatPr defaultColWidth="9.33203125" defaultRowHeight="10.5" x14ac:dyDescent="0.25"/>
  <cols>
    <col min="1" max="1" width="38.44140625" style="171" customWidth="1"/>
    <col min="2" max="3" width="12" style="1" hidden="1" customWidth="1"/>
    <col min="4" max="4" width="11.109375" style="1" hidden="1" customWidth="1"/>
    <col min="5" max="5" width="12" style="1" hidden="1" customWidth="1"/>
    <col min="6" max="6" width="12.6640625" style="1" hidden="1" customWidth="1"/>
    <col min="7" max="7" width="11.109375" style="1" hidden="1" customWidth="1"/>
    <col min="8" max="8" width="11" style="1" hidden="1" customWidth="1"/>
    <col min="9" max="9" width="10.77734375" style="1" hidden="1" customWidth="1"/>
    <col min="10" max="11" width="12" style="1" hidden="1" customWidth="1"/>
    <col min="12" max="12" width="12.77734375" style="1" hidden="1" customWidth="1"/>
    <col min="13" max="13" width="11.77734375" style="1" hidden="1" customWidth="1"/>
    <col min="14" max="14" width="11.6640625" style="1" hidden="1" customWidth="1"/>
    <col min="15" max="15" width="12.44140625" style="1" customWidth="1"/>
    <col min="16" max="16" width="12.77734375" style="1" customWidth="1"/>
    <col min="17" max="17" width="13" style="1" customWidth="1"/>
    <col min="18" max="18" width="12.44140625" style="1" customWidth="1"/>
    <col min="19" max="19" width="12.77734375" style="1" customWidth="1"/>
    <col min="20" max="20" width="15.109375" style="174" customWidth="1"/>
    <col min="21" max="21" width="13.44140625" style="174" customWidth="1"/>
    <col min="22" max="23" width="14.44140625" style="1" bestFit="1" customWidth="1"/>
    <col min="24" max="24" width="11.6640625" style="1" customWidth="1"/>
    <col min="25" max="25" width="15.109375" style="174" customWidth="1"/>
    <col min="26" max="26" width="13.44140625" style="174" customWidth="1"/>
    <col min="27" max="28" width="14.44140625" style="1" bestFit="1" customWidth="1"/>
    <col min="29" max="29" width="11.6640625" style="1" customWidth="1"/>
    <col min="30" max="16384" width="9.33203125" style="1"/>
  </cols>
  <sheetData>
    <row r="1" spans="1:29" s="2" customFormat="1" ht="13" x14ac:dyDescent="0.3">
      <c r="A1" s="19"/>
      <c r="B1" s="13"/>
      <c r="C1" s="13"/>
      <c r="D1" s="13"/>
      <c r="E1" s="13"/>
      <c r="F1" s="13"/>
      <c r="G1" s="13"/>
      <c r="H1" s="6"/>
      <c r="I1" s="6"/>
      <c r="J1" s="13"/>
      <c r="K1" s="13"/>
      <c r="L1" s="13"/>
      <c r="M1" s="6"/>
      <c r="N1" s="6"/>
      <c r="O1" s="13"/>
      <c r="P1" s="13"/>
      <c r="Q1" s="13"/>
      <c r="T1" s="136"/>
      <c r="U1" s="137"/>
      <c r="W1" s="6"/>
      <c r="X1" s="6"/>
      <c r="Y1" s="136"/>
      <c r="Z1" s="137"/>
      <c r="AB1" s="6"/>
      <c r="AC1" s="6" t="s">
        <v>75</v>
      </c>
    </row>
    <row r="2" spans="1:29" s="2" customFormat="1" ht="16.5" customHeight="1" x14ac:dyDescent="0.3">
      <c r="A2" s="19"/>
      <c r="B2" s="13"/>
      <c r="C2" s="13"/>
      <c r="D2" s="13"/>
      <c r="E2" s="13"/>
      <c r="F2" s="13"/>
      <c r="G2" s="13"/>
      <c r="H2" s="6"/>
      <c r="I2" s="6"/>
      <c r="J2" s="13"/>
      <c r="K2" s="13"/>
      <c r="L2" s="13"/>
      <c r="M2" s="6"/>
      <c r="N2" s="6"/>
      <c r="O2" s="13"/>
      <c r="P2" s="13"/>
      <c r="Q2" s="13"/>
      <c r="T2" s="136"/>
      <c r="U2" s="136"/>
      <c r="W2" s="6"/>
      <c r="X2" s="6"/>
      <c r="Y2" s="136"/>
      <c r="Z2" s="136"/>
      <c r="AB2" s="6"/>
      <c r="AC2" s="6" t="s">
        <v>76</v>
      </c>
    </row>
    <row r="3" spans="1:29" s="2" customFormat="1" ht="20.25" customHeight="1" thickBot="1" x14ac:dyDescent="0.5">
      <c r="A3" s="250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1"/>
      <c r="Z3" s="251"/>
      <c r="AA3" s="251"/>
      <c r="AB3" s="251"/>
      <c r="AC3" s="251"/>
    </row>
    <row r="4" spans="1:29" s="3" customFormat="1" ht="11.25" customHeight="1" x14ac:dyDescent="0.25">
      <c r="A4" s="244" t="s">
        <v>0</v>
      </c>
      <c r="B4" s="240" t="s">
        <v>29</v>
      </c>
      <c r="C4" s="241"/>
      <c r="D4" s="248"/>
      <c r="E4" s="240" t="s">
        <v>36</v>
      </c>
      <c r="F4" s="241"/>
      <c r="G4" s="241"/>
      <c r="H4" s="242" t="s">
        <v>42</v>
      </c>
      <c r="I4" s="246" t="s">
        <v>37</v>
      </c>
      <c r="J4" s="240" t="s">
        <v>44</v>
      </c>
      <c r="K4" s="241"/>
      <c r="L4" s="241"/>
      <c r="M4" s="242" t="s">
        <v>62</v>
      </c>
      <c r="N4" s="237" t="s">
        <v>63</v>
      </c>
      <c r="O4" s="240" t="s">
        <v>64</v>
      </c>
      <c r="P4" s="241"/>
      <c r="Q4" s="241"/>
      <c r="R4" s="242" t="s">
        <v>65</v>
      </c>
      <c r="S4" s="237" t="s">
        <v>66</v>
      </c>
      <c r="T4" s="240" t="s">
        <v>67</v>
      </c>
      <c r="U4" s="241"/>
      <c r="V4" s="241"/>
      <c r="W4" s="242" t="s">
        <v>68</v>
      </c>
      <c r="X4" s="237" t="s">
        <v>69</v>
      </c>
      <c r="Y4" s="240" t="s">
        <v>72</v>
      </c>
      <c r="Z4" s="241"/>
      <c r="AA4" s="241"/>
      <c r="AB4" s="242" t="s">
        <v>73</v>
      </c>
      <c r="AC4" s="237" t="s">
        <v>74</v>
      </c>
    </row>
    <row r="5" spans="1:29" s="4" customFormat="1" ht="33" customHeight="1" thickBot="1" x14ac:dyDescent="0.25">
      <c r="A5" s="245"/>
      <c r="B5" s="21" t="s">
        <v>3</v>
      </c>
      <c r="C5" s="135" t="s">
        <v>59</v>
      </c>
      <c r="D5" s="22" t="s">
        <v>4</v>
      </c>
      <c r="E5" s="21" t="s">
        <v>3</v>
      </c>
      <c r="F5" s="135" t="s">
        <v>60</v>
      </c>
      <c r="G5" s="135" t="s">
        <v>4</v>
      </c>
      <c r="H5" s="249"/>
      <c r="I5" s="247"/>
      <c r="J5" s="23" t="s">
        <v>3</v>
      </c>
      <c r="K5" s="134" t="s">
        <v>61</v>
      </c>
      <c r="L5" s="134" t="s">
        <v>4</v>
      </c>
      <c r="M5" s="243"/>
      <c r="N5" s="238"/>
      <c r="O5" s="23" t="s">
        <v>3</v>
      </c>
      <c r="P5" s="134" t="s">
        <v>61</v>
      </c>
      <c r="Q5" s="134" t="s">
        <v>4</v>
      </c>
      <c r="R5" s="243"/>
      <c r="S5" s="238"/>
      <c r="T5" s="138" t="s">
        <v>3</v>
      </c>
      <c r="U5" s="139" t="s">
        <v>61</v>
      </c>
      <c r="V5" s="134" t="s">
        <v>4</v>
      </c>
      <c r="W5" s="243"/>
      <c r="X5" s="238"/>
      <c r="Y5" s="138" t="s">
        <v>3</v>
      </c>
      <c r="Z5" s="139" t="s">
        <v>61</v>
      </c>
      <c r="AA5" s="134" t="s">
        <v>4</v>
      </c>
      <c r="AB5" s="243"/>
      <c r="AC5" s="238"/>
    </row>
    <row r="6" spans="1:29" s="4" customFormat="1" ht="13.5" thickBot="1" x14ac:dyDescent="0.25">
      <c r="A6" s="205" t="s">
        <v>1</v>
      </c>
      <c r="B6" s="206">
        <f>B7+B26</f>
        <v>1330594.7</v>
      </c>
      <c r="C6" s="207">
        <f>C7+C26</f>
        <v>1311011.0999999999</v>
      </c>
      <c r="D6" s="208">
        <f>C6/B6</f>
        <v>0.98528206973919252</v>
      </c>
      <c r="E6" s="206">
        <f>E7+E26</f>
        <v>1137001.3999999999</v>
      </c>
      <c r="F6" s="207">
        <f>F7+F26</f>
        <v>1080910.5</v>
      </c>
      <c r="G6" s="176">
        <f t="shared" ref="G6:G25" si="0">F6/E6</f>
        <v>0.95066769486827374</v>
      </c>
      <c r="H6" s="176">
        <f>E6/B6</f>
        <v>0.85450618433997971</v>
      </c>
      <c r="I6" s="177">
        <f>F6/C6</f>
        <v>0.82448615423622285</v>
      </c>
      <c r="J6" s="209">
        <f>J7+J26</f>
        <v>1657463.2000000002</v>
      </c>
      <c r="K6" s="207">
        <f>K7+K26</f>
        <v>1553299.2</v>
      </c>
      <c r="L6" s="176">
        <f t="shared" ref="L6:L12" si="1">K6/J6</f>
        <v>0.9371545624663038</v>
      </c>
      <c r="M6" s="176">
        <f>J6/E6</f>
        <v>1.4577494803436482</v>
      </c>
      <c r="N6" s="177">
        <f>K6/F6</f>
        <v>1.437028505135254</v>
      </c>
      <c r="O6" s="209">
        <f>O7+O26</f>
        <v>1480855</v>
      </c>
      <c r="P6" s="207">
        <f>P7+P26</f>
        <v>1423655.8</v>
      </c>
      <c r="Q6" s="176">
        <f t="shared" ref="Q6:Q12" si="2">P6/O6</f>
        <v>0.96137420611741198</v>
      </c>
      <c r="R6" s="176">
        <f>O6/J6</f>
        <v>0.89344668406514238</v>
      </c>
      <c r="S6" s="177">
        <f>P6/K6</f>
        <v>0.91653674964874765</v>
      </c>
      <c r="T6" s="210">
        <f>T7+T26</f>
        <v>1261659.9189000002</v>
      </c>
      <c r="U6" s="210">
        <f>U7+U26</f>
        <v>1221561.1124</v>
      </c>
      <c r="V6" s="176">
        <f>U6/T6</f>
        <v>0.96821742063823268</v>
      </c>
      <c r="W6" s="176">
        <f>T6/O6</f>
        <v>0.8519807266072642</v>
      </c>
      <c r="X6" s="177">
        <f>U6/P6</f>
        <v>0.85804526094017941</v>
      </c>
      <c r="Y6" s="210">
        <f>Y7+Y26</f>
        <v>1411363.4</v>
      </c>
      <c r="Z6" s="210">
        <f>Z7+Z26</f>
        <v>1408620.39983</v>
      </c>
      <c r="AA6" s="176">
        <f>Z6/Y6</f>
        <v>0.99805648908707711</v>
      </c>
      <c r="AB6" s="176">
        <f>Y6/T6</f>
        <v>1.1186559696931018</v>
      </c>
      <c r="AC6" s="177">
        <f>Z6/U6</f>
        <v>1.153131337868545</v>
      </c>
    </row>
    <row r="7" spans="1:29" s="5" customFormat="1" ht="13.5" thickBot="1" x14ac:dyDescent="0.25">
      <c r="A7" s="211" t="s">
        <v>2</v>
      </c>
      <c r="B7" s="212">
        <f>B8+B15</f>
        <v>463609</v>
      </c>
      <c r="C7" s="213">
        <f>C8+C15</f>
        <v>458949.89999999997</v>
      </c>
      <c r="D7" s="201">
        <f t="shared" ref="D7:D32" si="3">C7/B7</f>
        <v>0.98995036765895394</v>
      </c>
      <c r="E7" s="212">
        <f>E8+E15</f>
        <v>451847</v>
      </c>
      <c r="F7" s="213">
        <f>F8+F15</f>
        <v>410965.2</v>
      </c>
      <c r="G7" s="202">
        <f t="shared" si="0"/>
        <v>0.90952291372964744</v>
      </c>
      <c r="H7" s="202">
        <f t="shared" ref="H7:I10" si="4">E7/B7</f>
        <v>0.97462948303419472</v>
      </c>
      <c r="I7" s="203">
        <f t="shared" si="4"/>
        <v>0.89544675791409922</v>
      </c>
      <c r="J7" s="214">
        <f>J8+J15</f>
        <v>546998.5</v>
      </c>
      <c r="K7" s="213">
        <f>K8+K15</f>
        <v>552084.1</v>
      </c>
      <c r="L7" s="202">
        <f t="shared" si="1"/>
        <v>1.0092972832649449</v>
      </c>
      <c r="M7" s="202">
        <f t="shared" ref="M7:M32" si="5">J7/E7</f>
        <v>1.2105834497075338</v>
      </c>
      <c r="N7" s="203">
        <f t="shared" ref="N7:N32" si="6">K7/F7</f>
        <v>1.3433840626894928</v>
      </c>
      <c r="O7" s="214">
        <f>O8+O15</f>
        <v>434211.2</v>
      </c>
      <c r="P7" s="213">
        <f>P8+P15</f>
        <v>416779.3</v>
      </c>
      <c r="Q7" s="202">
        <f t="shared" si="2"/>
        <v>0.95985386834793751</v>
      </c>
      <c r="R7" s="202">
        <f t="shared" ref="R7:R11" si="7">O7/J7</f>
        <v>0.79380693000072211</v>
      </c>
      <c r="S7" s="203">
        <f t="shared" ref="S7:S12" si="8">P7/K7</f>
        <v>0.75491994788475159</v>
      </c>
      <c r="T7" s="214">
        <f>SUM(T8+T15)</f>
        <v>456597.56450000004</v>
      </c>
      <c r="U7" s="214">
        <f>SUM(U8+U15)</f>
        <v>435180.43303000001</v>
      </c>
      <c r="V7" s="176">
        <f t="shared" ref="V7:V35" si="9">U7/T7</f>
        <v>0.95309407422386716</v>
      </c>
      <c r="W7" s="176">
        <f t="shared" ref="W7:W35" si="10">T7/O7</f>
        <v>1.0515563958276526</v>
      </c>
      <c r="X7" s="177">
        <f t="shared" ref="X7:X35" si="11">U7/P7</f>
        <v>1.0441507844319524</v>
      </c>
      <c r="Y7" s="214">
        <f>SUM(Y8+Y15)</f>
        <v>502380</v>
      </c>
      <c r="Z7" s="214">
        <f>SUM(Z8+Z15)</f>
        <v>508733.39983000007</v>
      </c>
      <c r="AA7" s="176">
        <f t="shared" ref="AA7:AA12" si="12">Z7/Y7</f>
        <v>1.0126466018352642</v>
      </c>
      <c r="AB7" s="176">
        <f t="shared" ref="AB7:AB12" si="13">Y7/T7</f>
        <v>1.1002686809118973</v>
      </c>
      <c r="AC7" s="177">
        <f t="shared" ref="AC7:AC12" si="14">Z7/U7</f>
        <v>1.1690171736074575</v>
      </c>
    </row>
    <row r="8" spans="1:29" s="4" customFormat="1" ht="13.5" thickBot="1" x14ac:dyDescent="0.25">
      <c r="A8" s="215" t="s">
        <v>5</v>
      </c>
      <c r="B8" s="199">
        <f>SUM(B9:B14)</f>
        <v>332096.8</v>
      </c>
      <c r="C8" s="200">
        <f>SUM(C9:C14)</f>
        <v>330886.09999999998</v>
      </c>
      <c r="D8" s="201">
        <f t="shared" si="3"/>
        <v>0.99635437619392897</v>
      </c>
      <c r="E8" s="199">
        <f>SUM(E9:E14)</f>
        <v>369838.7</v>
      </c>
      <c r="F8" s="200">
        <f>SUM(F9:F14)</f>
        <v>376536.4</v>
      </c>
      <c r="G8" s="202">
        <f t="shared" si="0"/>
        <v>1.0181097867800206</v>
      </c>
      <c r="H8" s="202">
        <f t="shared" si="4"/>
        <v>1.1136472859720419</v>
      </c>
      <c r="I8" s="203">
        <f t="shared" si="4"/>
        <v>1.1379637887478502</v>
      </c>
      <c r="J8" s="204">
        <f>SUM(J9:J14)</f>
        <v>413285.1</v>
      </c>
      <c r="K8" s="200">
        <f>SUM(K9:K14)</f>
        <v>420316.3</v>
      </c>
      <c r="L8" s="202">
        <f t="shared" si="1"/>
        <v>1.0170129530437948</v>
      </c>
      <c r="M8" s="202">
        <f t="shared" si="5"/>
        <v>1.1174739149796924</v>
      </c>
      <c r="N8" s="203">
        <f t="shared" si="6"/>
        <v>1.1162700339196954</v>
      </c>
      <c r="O8" s="204">
        <f>SUM(O9:O14)</f>
        <v>300956.5</v>
      </c>
      <c r="P8" s="200">
        <f>SUM(P9:P14)</f>
        <v>300338.09999999998</v>
      </c>
      <c r="Q8" s="202">
        <f t="shared" si="2"/>
        <v>0.99794521799662073</v>
      </c>
      <c r="R8" s="202">
        <f t="shared" si="7"/>
        <v>0.72820554140471072</v>
      </c>
      <c r="S8" s="203">
        <f t="shared" si="8"/>
        <v>0.71455258813422173</v>
      </c>
      <c r="T8" s="204">
        <f>SUM(T9:T14)</f>
        <v>321155.45</v>
      </c>
      <c r="U8" s="204">
        <f>SUM(U9:U14)</f>
        <v>315367.76618999999</v>
      </c>
      <c r="V8" s="176">
        <f t="shared" si="9"/>
        <v>0.981978559572942</v>
      </c>
      <c r="W8" s="176">
        <f t="shared" si="10"/>
        <v>1.067115845645467</v>
      </c>
      <c r="X8" s="177">
        <f t="shared" si="11"/>
        <v>1.05004248941443</v>
      </c>
      <c r="Y8" s="204">
        <f>SUM(Y9:Y14)</f>
        <v>357178.1</v>
      </c>
      <c r="Z8" s="204">
        <f>SUM(Z9:Z14)</f>
        <v>361346.70003000007</v>
      </c>
      <c r="AA8" s="176">
        <f t="shared" si="12"/>
        <v>1.011670928396786</v>
      </c>
      <c r="AB8" s="176">
        <f>Y8/T8</f>
        <v>1.1121657751721168</v>
      </c>
      <c r="AC8" s="177">
        <f t="shared" si="14"/>
        <v>1.1457946523688127</v>
      </c>
    </row>
    <row r="9" spans="1:29" s="4" customFormat="1" ht="26.5" thickBot="1" x14ac:dyDescent="0.25">
      <c r="A9" s="229" t="s">
        <v>6</v>
      </c>
      <c r="B9" s="62">
        <v>300114.8</v>
      </c>
      <c r="C9" s="52">
        <v>297762.90000000002</v>
      </c>
      <c r="D9" s="28">
        <f t="shared" si="3"/>
        <v>0.99216333216489172</v>
      </c>
      <c r="E9" s="53">
        <v>341346.4</v>
      </c>
      <c r="F9" s="54">
        <v>346297.5</v>
      </c>
      <c r="G9" s="29">
        <f t="shared" si="0"/>
        <v>1.0145046205262453</v>
      </c>
      <c r="H9" s="29">
        <f t="shared" si="4"/>
        <v>1.137386093588187</v>
      </c>
      <c r="I9" s="30">
        <f t="shared" si="4"/>
        <v>1.1629974721498211</v>
      </c>
      <c r="J9" s="55">
        <v>377470.7</v>
      </c>
      <c r="K9" s="55">
        <v>383716.1</v>
      </c>
      <c r="L9" s="29">
        <f t="shared" si="1"/>
        <v>1.0165453901455133</v>
      </c>
      <c r="M9" s="29">
        <f t="shared" si="5"/>
        <v>1.1058288588952454</v>
      </c>
      <c r="N9" s="30">
        <f t="shared" si="6"/>
        <v>1.1080533356434856</v>
      </c>
      <c r="O9" s="55">
        <v>263490.40000000002</v>
      </c>
      <c r="P9" s="55">
        <v>262286.7</v>
      </c>
      <c r="Q9" s="216">
        <f t="shared" si="2"/>
        <v>0.99543171212309822</v>
      </c>
      <c r="R9" s="216">
        <f t="shared" si="7"/>
        <v>0.6980419937229565</v>
      </c>
      <c r="S9" s="217">
        <f t="shared" si="8"/>
        <v>0.68354364072813212</v>
      </c>
      <c r="T9" s="55">
        <v>282735.90000000002</v>
      </c>
      <c r="U9" s="55">
        <v>277327.70737000002</v>
      </c>
      <c r="V9" s="176">
        <f t="shared" si="9"/>
        <v>0.98087192807846468</v>
      </c>
      <c r="W9" s="176">
        <f t="shared" si="10"/>
        <v>1.0730406117262716</v>
      </c>
      <c r="X9" s="177">
        <f t="shared" si="11"/>
        <v>1.0573456731507926</v>
      </c>
      <c r="Y9" s="55">
        <v>317095</v>
      </c>
      <c r="Z9" s="55">
        <v>321417.5</v>
      </c>
      <c r="AA9" s="176">
        <f t="shared" si="12"/>
        <v>1.0136315615194185</v>
      </c>
      <c r="AB9" s="176">
        <f t="shared" si="13"/>
        <v>1.1215236551141896</v>
      </c>
      <c r="AC9" s="177">
        <f t="shared" si="14"/>
        <v>1.1589808427297783</v>
      </c>
    </row>
    <row r="10" spans="1:29" s="4" customFormat="1" ht="26.5" thickBot="1" x14ac:dyDescent="0.25">
      <c r="A10" s="229" t="s">
        <v>7</v>
      </c>
      <c r="B10" s="62">
        <v>21100</v>
      </c>
      <c r="C10" s="52">
        <v>21473.3</v>
      </c>
      <c r="D10" s="28">
        <f t="shared" si="3"/>
        <v>1.0176919431279621</v>
      </c>
      <c r="E10" s="53">
        <v>24492.3</v>
      </c>
      <c r="F10" s="54">
        <v>25653.9</v>
      </c>
      <c r="G10" s="29">
        <f t="shared" si="0"/>
        <v>1.0474271505738539</v>
      </c>
      <c r="H10" s="29">
        <f t="shared" si="4"/>
        <v>1.1607725118483412</v>
      </c>
      <c r="I10" s="30">
        <f t="shared" si="4"/>
        <v>1.1946882873149447</v>
      </c>
      <c r="J10" s="55">
        <v>22170</v>
      </c>
      <c r="K10" s="55">
        <v>22736.1</v>
      </c>
      <c r="L10" s="29">
        <f t="shared" si="1"/>
        <v>1.0255345060893097</v>
      </c>
      <c r="M10" s="29">
        <f t="shared" si="5"/>
        <v>0.90518244509498902</v>
      </c>
      <c r="N10" s="30">
        <f t="shared" si="6"/>
        <v>0.88626290739419722</v>
      </c>
      <c r="O10" s="55">
        <v>21500</v>
      </c>
      <c r="P10" s="55">
        <v>21795.3</v>
      </c>
      <c r="Q10" s="216">
        <f t="shared" si="2"/>
        <v>1.0137348837209301</v>
      </c>
      <c r="R10" s="216">
        <f t="shared" si="7"/>
        <v>0.96977898060442036</v>
      </c>
      <c r="S10" s="217">
        <f t="shared" si="8"/>
        <v>0.95862087165344978</v>
      </c>
      <c r="T10" s="55">
        <v>21042.623329999999</v>
      </c>
      <c r="U10" s="55">
        <v>20964.778579999998</v>
      </c>
      <c r="V10" s="176">
        <f t="shared" si="9"/>
        <v>0.99630061571795481</v>
      </c>
      <c r="W10" s="176">
        <f t="shared" si="10"/>
        <v>0.97872666651162787</v>
      </c>
      <c r="X10" s="177">
        <f t="shared" si="11"/>
        <v>0.96189447174390807</v>
      </c>
      <c r="Y10" s="55">
        <v>20048.599999999999</v>
      </c>
      <c r="Z10" s="55">
        <v>19534.900000000001</v>
      </c>
      <c r="AA10" s="176">
        <f t="shared" si="12"/>
        <v>0.97437726325030194</v>
      </c>
      <c r="AB10" s="176">
        <f t="shared" si="13"/>
        <v>0.95276143499737298</v>
      </c>
      <c r="AC10" s="177">
        <f t="shared" si="14"/>
        <v>0.9317961516004718</v>
      </c>
    </row>
    <row r="11" spans="1:29" s="4" customFormat="1" ht="39.5" thickBot="1" x14ac:dyDescent="0.25">
      <c r="A11" s="229" t="s">
        <v>8</v>
      </c>
      <c r="B11" s="58"/>
      <c r="C11" s="54"/>
      <c r="D11" s="28">
        <v>0</v>
      </c>
      <c r="E11" s="56"/>
      <c r="F11" s="54"/>
      <c r="G11" s="29">
        <v>0</v>
      </c>
      <c r="H11" s="29">
        <v>0</v>
      </c>
      <c r="I11" s="30">
        <v>0</v>
      </c>
      <c r="J11" s="55">
        <v>8365.6</v>
      </c>
      <c r="K11" s="55">
        <v>8362.4</v>
      </c>
      <c r="L11" s="29">
        <f t="shared" si="1"/>
        <v>0.99961748111312987</v>
      </c>
      <c r="M11" s="29">
        <v>0</v>
      </c>
      <c r="N11" s="30">
        <v>0</v>
      </c>
      <c r="O11" s="55">
        <v>10026.1</v>
      </c>
      <c r="P11" s="55">
        <v>10171</v>
      </c>
      <c r="Q11" s="216">
        <f t="shared" si="2"/>
        <v>1.0144522795503734</v>
      </c>
      <c r="R11" s="216">
        <f t="shared" si="7"/>
        <v>1.1984914411399064</v>
      </c>
      <c r="S11" s="217">
        <f t="shared" si="8"/>
        <v>1.2162776236487134</v>
      </c>
      <c r="T11" s="55">
        <v>10856.926670000001</v>
      </c>
      <c r="U11" s="55">
        <v>10603.87383</v>
      </c>
      <c r="V11" s="176">
        <f t="shared" si="9"/>
        <v>0.97669203747141087</v>
      </c>
      <c r="W11" s="176">
        <f t="shared" si="10"/>
        <v>1.0828663857332363</v>
      </c>
      <c r="X11" s="177">
        <f t="shared" si="11"/>
        <v>1.042559613607315</v>
      </c>
      <c r="Y11" s="55">
        <v>13000</v>
      </c>
      <c r="Z11" s="55">
        <v>12728.7</v>
      </c>
      <c r="AA11" s="176">
        <f t="shared" si="12"/>
        <v>0.97913076923076925</v>
      </c>
      <c r="AB11" s="176">
        <f t="shared" si="13"/>
        <v>1.1973922634958718</v>
      </c>
      <c r="AC11" s="177">
        <f t="shared" si="14"/>
        <v>1.2003820682955071</v>
      </c>
    </row>
    <row r="12" spans="1:29" s="4" customFormat="1" ht="39.5" thickBot="1" x14ac:dyDescent="0.25">
      <c r="A12" s="229" t="s">
        <v>49</v>
      </c>
      <c r="B12" s="62"/>
      <c r="C12" s="52"/>
      <c r="D12" s="28">
        <v>0</v>
      </c>
      <c r="E12" s="56"/>
      <c r="F12" s="54"/>
      <c r="G12" s="29">
        <v>0</v>
      </c>
      <c r="H12" s="29">
        <v>0</v>
      </c>
      <c r="I12" s="30">
        <v>0</v>
      </c>
      <c r="J12" s="55">
        <v>778.8</v>
      </c>
      <c r="K12" s="55">
        <v>945.3</v>
      </c>
      <c r="L12" s="29">
        <f t="shared" si="1"/>
        <v>1.2137904468412943</v>
      </c>
      <c r="M12" s="29">
        <v>0</v>
      </c>
      <c r="N12" s="30">
        <v>0</v>
      </c>
      <c r="O12" s="55">
        <v>1050</v>
      </c>
      <c r="P12" s="55">
        <v>1156.5999999999999</v>
      </c>
      <c r="Q12" s="216">
        <f t="shared" si="2"/>
        <v>1.1015238095238093</v>
      </c>
      <c r="R12" s="216">
        <f>O12/J12</f>
        <v>1.3482280431432974</v>
      </c>
      <c r="S12" s="217">
        <f t="shared" si="8"/>
        <v>1.2235269226700518</v>
      </c>
      <c r="T12" s="55">
        <v>1800</v>
      </c>
      <c r="U12" s="55">
        <v>1892.6534799999999</v>
      </c>
      <c r="V12" s="176">
        <f t="shared" si="9"/>
        <v>1.0514741555555556</v>
      </c>
      <c r="W12" s="176">
        <f t="shared" si="10"/>
        <v>1.7142857142857142</v>
      </c>
      <c r="X12" s="177">
        <f t="shared" si="11"/>
        <v>1.6363941552827252</v>
      </c>
      <c r="Y12" s="55">
        <v>1650</v>
      </c>
      <c r="Z12" s="55">
        <v>2014.7</v>
      </c>
      <c r="AA12" s="176">
        <f t="shared" si="12"/>
        <v>1.2210303030303031</v>
      </c>
      <c r="AB12" s="176">
        <f t="shared" si="13"/>
        <v>0.91666666666666663</v>
      </c>
      <c r="AC12" s="177">
        <f t="shared" si="14"/>
        <v>1.064484345015972</v>
      </c>
    </row>
    <row r="13" spans="1:29" s="4" customFormat="1" ht="13.5" thickBot="1" x14ac:dyDescent="0.25">
      <c r="A13" s="229" t="s">
        <v>9</v>
      </c>
      <c r="B13" s="58"/>
      <c r="C13" s="52">
        <v>4.0999999999999996</v>
      </c>
      <c r="D13" s="28">
        <v>0</v>
      </c>
      <c r="E13" s="56"/>
      <c r="F13" s="57">
        <v>0.1</v>
      </c>
      <c r="G13" s="29">
        <v>0</v>
      </c>
      <c r="H13" s="29">
        <v>0</v>
      </c>
      <c r="I13" s="30">
        <f>F13/C13</f>
        <v>2.4390243902439029E-2</v>
      </c>
      <c r="J13" s="58"/>
      <c r="K13" s="52"/>
      <c r="L13" s="29">
        <v>0</v>
      </c>
      <c r="M13" s="29">
        <v>0</v>
      </c>
      <c r="N13" s="30">
        <v>0</v>
      </c>
      <c r="O13" s="58"/>
      <c r="P13" s="52"/>
      <c r="Q13" s="216">
        <v>0</v>
      </c>
      <c r="R13" s="216">
        <v>0</v>
      </c>
      <c r="S13" s="217">
        <v>0</v>
      </c>
      <c r="T13" s="58">
        <v>0</v>
      </c>
      <c r="U13" s="52">
        <v>3.0000000000000001E-5</v>
      </c>
      <c r="V13" s="176">
        <v>0</v>
      </c>
      <c r="W13" s="176">
        <v>0</v>
      </c>
      <c r="X13" s="177">
        <v>0</v>
      </c>
      <c r="Y13" s="58">
        <v>0</v>
      </c>
      <c r="Z13" s="52">
        <v>3.0000000000000001E-5</v>
      </c>
      <c r="AA13" s="176">
        <v>0</v>
      </c>
      <c r="AB13" s="176">
        <v>0</v>
      </c>
      <c r="AC13" s="177">
        <v>0</v>
      </c>
    </row>
    <row r="14" spans="1:29" s="4" customFormat="1" ht="13.5" thickBot="1" x14ac:dyDescent="0.25">
      <c r="A14" s="229" t="s">
        <v>10</v>
      </c>
      <c r="B14" s="62">
        <v>10882</v>
      </c>
      <c r="C14" s="52">
        <v>11645.8</v>
      </c>
      <c r="D14" s="28">
        <f t="shared" si="3"/>
        <v>1.0701893034368681</v>
      </c>
      <c r="E14" s="53">
        <v>4000</v>
      </c>
      <c r="F14" s="54">
        <v>4584.8999999999996</v>
      </c>
      <c r="G14" s="29">
        <f t="shared" si="0"/>
        <v>1.1462249999999998</v>
      </c>
      <c r="H14" s="29">
        <f>E14/B14</f>
        <v>0.36757948906451021</v>
      </c>
      <c r="I14" s="30">
        <f>F14/C14</f>
        <v>0.39369558123958853</v>
      </c>
      <c r="J14" s="55">
        <v>4500</v>
      </c>
      <c r="K14" s="55">
        <v>4556.3999999999996</v>
      </c>
      <c r="L14" s="29">
        <f>K14/J14</f>
        <v>1.0125333333333333</v>
      </c>
      <c r="M14" s="29">
        <f t="shared" si="5"/>
        <v>1.125</v>
      </c>
      <c r="N14" s="30">
        <f t="shared" si="6"/>
        <v>0.99378394294313943</v>
      </c>
      <c r="O14" s="55">
        <v>4890</v>
      </c>
      <c r="P14" s="55">
        <v>4928.5</v>
      </c>
      <c r="Q14" s="216">
        <f>P14/O14</f>
        <v>1.0078732106339467</v>
      </c>
      <c r="R14" s="216">
        <f>O14/J14</f>
        <v>1.0866666666666667</v>
      </c>
      <c r="S14" s="217">
        <f>P14/K14</f>
        <v>1.0816653498375912</v>
      </c>
      <c r="T14" s="55">
        <v>4720</v>
      </c>
      <c r="U14" s="55">
        <v>4578.7529000000004</v>
      </c>
      <c r="V14" s="176">
        <f t="shared" si="9"/>
        <v>0.97007476694915262</v>
      </c>
      <c r="W14" s="176">
        <f t="shared" si="10"/>
        <v>0.96523517382413093</v>
      </c>
      <c r="X14" s="177">
        <f t="shared" si="11"/>
        <v>0.92903579182306995</v>
      </c>
      <c r="Y14" s="55">
        <v>5384.5</v>
      </c>
      <c r="Z14" s="55">
        <v>5650.9</v>
      </c>
      <c r="AA14" s="176">
        <f t="shared" ref="AA14:AA21" si="15">Z14/Y14</f>
        <v>1.0494753459002693</v>
      </c>
      <c r="AB14" s="176">
        <f t="shared" ref="AB14:AB22" si="16">Y14/T14</f>
        <v>1.1407838983050846</v>
      </c>
      <c r="AC14" s="177">
        <f t="shared" ref="AC14:AC22" si="17">Z14/U14</f>
        <v>1.2341570124913268</v>
      </c>
    </row>
    <row r="15" spans="1:29" s="4" customFormat="1" ht="13.5" thickBot="1" x14ac:dyDescent="0.25">
      <c r="A15" s="230" t="s">
        <v>11</v>
      </c>
      <c r="B15" s="204">
        <f>SUM(B16:B25)</f>
        <v>131512.20000000001</v>
      </c>
      <c r="C15" s="200">
        <f>SUM(C16:C25)</f>
        <v>128063.8</v>
      </c>
      <c r="D15" s="201">
        <f t="shared" si="3"/>
        <v>0.97377885853935975</v>
      </c>
      <c r="E15" s="199">
        <f>SUM(E16:E25)</f>
        <v>82008.3</v>
      </c>
      <c r="F15" s="200">
        <f>SUM(F16:F25)</f>
        <v>34428.80000000001</v>
      </c>
      <c r="G15" s="202">
        <f t="shared" si="0"/>
        <v>0.41982092056535752</v>
      </c>
      <c r="H15" s="202">
        <f>E15/B15</f>
        <v>0.62357940936278156</v>
      </c>
      <c r="I15" s="203">
        <f>F15/C15</f>
        <v>0.26884099956427976</v>
      </c>
      <c r="J15" s="204">
        <f>SUM(J16:J25)</f>
        <v>133713.4</v>
      </c>
      <c r="K15" s="200">
        <f>SUM(K16:K25)</f>
        <v>131767.80000000002</v>
      </c>
      <c r="L15" s="202">
        <f t="shared" ref="L15:L25" si="18">K15/J15</f>
        <v>0.98544947626789858</v>
      </c>
      <c r="M15" s="202">
        <f t="shared" si="5"/>
        <v>1.6304861824961618</v>
      </c>
      <c r="N15" s="203">
        <f t="shared" si="6"/>
        <v>3.8272550887628958</v>
      </c>
      <c r="O15" s="204">
        <f>SUM(O16:O25)</f>
        <v>133254.70000000001</v>
      </c>
      <c r="P15" s="200">
        <f>SUM(P16:P25)</f>
        <v>116441.20000000001</v>
      </c>
      <c r="Q15" s="202">
        <f>P15/O15</f>
        <v>0.87382433790327851</v>
      </c>
      <c r="R15" s="202">
        <f t="shared" ref="R15:R22" si="19">O15/J15</f>
        <v>0.99656952855884318</v>
      </c>
      <c r="S15" s="203">
        <f t="shared" ref="S15:S22" si="20">P15/K15</f>
        <v>0.88368478490192592</v>
      </c>
      <c r="T15" s="204">
        <f>SUM(T16:T25)</f>
        <v>135442.11450000003</v>
      </c>
      <c r="U15" s="204">
        <f>SUM(U16:U25)</f>
        <v>119812.66684000002</v>
      </c>
      <c r="V15" s="176">
        <f t="shared" si="9"/>
        <v>0.88460422581485909</v>
      </c>
      <c r="W15" s="176">
        <f t="shared" si="10"/>
        <v>1.0164152896670813</v>
      </c>
      <c r="X15" s="177">
        <f t="shared" si="11"/>
        <v>1.0289542433434216</v>
      </c>
      <c r="Y15" s="204">
        <f>SUM(Y16:Y25)</f>
        <v>145201.9</v>
      </c>
      <c r="Z15" s="204">
        <f>SUM(Z16:Z25)</f>
        <v>147386.6998</v>
      </c>
      <c r="AA15" s="176">
        <f t="shared" si="15"/>
        <v>1.0150466336873003</v>
      </c>
      <c r="AB15" s="176">
        <f t="shared" si="16"/>
        <v>1.0720587207016763</v>
      </c>
      <c r="AC15" s="177">
        <f t="shared" si="17"/>
        <v>1.2301428862844932</v>
      </c>
    </row>
    <row r="16" spans="1:29" s="4" customFormat="1" ht="26.5" thickBot="1" x14ac:dyDescent="0.25">
      <c r="A16" s="229" t="s">
        <v>12</v>
      </c>
      <c r="B16" s="62">
        <v>86.9</v>
      </c>
      <c r="C16" s="57">
        <v>86.9</v>
      </c>
      <c r="D16" s="28">
        <f t="shared" si="3"/>
        <v>1</v>
      </c>
      <c r="E16" s="56">
        <v>38.200000000000003</v>
      </c>
      <c r="F16" s="57">
        <v>46.2</v>
      </c>
      <c r="G16" s="29">
        <f t="shared" si="0"/>
        <v>1.2094240837696335</v>
      </c>
      <c r="H16" s="29">
        <f>E16/B16</f>
        <v>0.43958573072497126</v>
      </c>
      <c r="I16" s="30">
        <f>F16/C16</f>
        <v>0.53164556962025311</v>
      </c>
      <c r="J16" s="55">
        <v>2.2999999999999998</v>
      </c>
      <c r="K16" s="57">
        <v>2.2999999999999998</v>
      </c>
      <c r="L16" s="29">
        <f>K16/J16</f>
        <v>1</v>
      </c>
      <c r="M16" s="29">
        <f t="shared" si="5"/>
        <v>6.0209424083769628E-2</v>
      </c>
      <c r="N16" s="30">
        <f t="shared" si="6"/>
        <v>4.9783549783549777E-2</v>
      </c>
      <c r="O16" s="55">
        <v>1.5</v>
      </c>
      <c r="P16" s="57">
        <v>1.5</v>
      </c>
      <c r="Q16" s="216">
        <f>P16/O16</f>
        <v>1</v>
      </c>
      <c r="R16" s="216">
        <f t="shared" si="19"/>
        <v>0.65217391304347827</v>
      </c>
      <c r="S16" s="217">
        <f t="shared" si="20"/>
        <v>0.65217391304347827</v>
      </c>
      <c r="T16" s="55">
        <v>0.75397000000000003</v>
      </c>
      <c r="U16" s="57">
        <v>0.75397000000000003</v>
      </c>
      <c r="V16" s="176">
        <f t="shared" si="9"/>
        <v>1</v>
      </c>
      <c r="W16" s="176">
        <f t="shared" si="10"/>
        <v>0.50264666666666669</v>
      </c>
      <c r="X16" s="177">
        <f t="shared" si="11"/>
        <v>0.50264666666666669</v>
      </c>
      <c r="Y16" s="55">
        <v>0</v>
      </c>
      <c r="Z16" s="57">
        <v>0</v>
      </c>
      <c r="AA16" s="176">
        <v>0</v>
      </c>
      <c r="AB16" s="176">
        <f t="shared" si="16"/>
        <v>0</v>
      </c>
      <c r="AC16" s="177">
        <f t="shared" si="17"/>
        <v>0</v>
      </c>
    </row>
    <row r="17" spans="1:29" s="4" customFormat="1" ht="13.5" thickBot="1" x14ac:dyDescent="0.25">
      <c r="A17" s="229" t="s">
        <v>13</v>
      </c>
      <c r="B17" s="58">
        <v>56602</v>
      </c>
      <c r="C17" s="54">
        <v>59187.4</v>
      </c>
      <c r="D17" s="28">
        <f t="shared" si="3"/>
        <v>1.0456768312073779</v>
      </c>
      <c r="E17" s="56">
        <v>57359.3</v>
      </c>
      <c r="F17" s="57">
        <v>64264.6</v>
      </c>
      <c r="G17" s="29">
        <f t="shared" si="0"/>
        <v>1.1203867550684892</v>
      </c>
      <c r="H17" s="29">
        <f>E17/B17</f>
        <v>1.0133793858874245</v>
      </c>
      <c r="I17" s="30">
        <f>F17/C17</f>
        <v>1.0857817711202047</v>
      </c>
      <c r="J17" s="58">
        <v>61267</v>
      </c>
      <c r="K17" s="54">
        <v>61792.5</v>
      </c>
      <c r="L17" s="29">
        <f t="shared" si="18"/>
        <v>1.0085772112230076</v>
      </c>
      <c r="M17" s="29">
        <f t="shared" si="5"/>
        <v>1.0681267030804071</v>
      </c>
      <c r="N17" s="30">
        <f t="shared" si="6"/>
        <v>0.96153247666678077</v>
      </c>
      <c r="O17" s="58">
        <v>61224.1</v>
      </c>
      <c r="P17" s="54">
        <v>61451</v>
      </c>
      <c r="Q17" s="216">
        <f t="shared" ref="Q17:Q22" si="21">P17/O17</f>
        <v>1.0037060569285625</v>
      </c>
      <c r="R17" s="216">
        <f t="shared" si="19"/>
        <v>0.99929978618179438</v>
      </c>
      <c r="S17" s="217">
        <f t="shared" si="20"/>
        <v>0.99447343933325238</v>
      </c>
      <c r="T17" s="140">
        <v>63918.8</v>
      </c>
      <c r="U17" s="54">
        <v>64043.1</v>
      </c>
      <c r="V17" s="176">
        <f t="shared" si="9"/>
        <v>1.0019446547807531</v>
      </c>
      <c r="W17" s="176">
        <f t="shared" si="10"/>
        <v>1.0440137135539764</v>
      </c>
      <c r="X17" s="177">
        <f t="shared" si="11"/>
        <v>1.0421815755642707</v>
      </c>
      <c r="Y17" s="140">
        <f>70916.5-4676</f>
        <v>66240.5</v>
      </c>
      <c r="Z17" s="54">
        <f>70049.9-5092.4</f>
        <v>64957.499999999993</v>
      </c>
      <c r="AA17" s="176">
        <f t="shared" si="15"/>
        <v>0.98063118484914802</v>
      </c>
      <c r="AB17" s="176">
        <f t="shared" si="16"/>
        <v>1.0363226468582012</v>
      </c>
      <c r="AC17" s="177">
        <f t="shared" si="17"/>
        <v>1.0142778847369973</v>
      </c>
    </row>
    <row r="18" spans="1:29" s="4" customFormat="1" ht="13.5" thickBot="1" x14ac:dyDescent="0.25">
      <c r="A18" s="229" t="s">
        <v>38</v>
      </c>
      <c r="B18" s="58">
        <v>4762</v>
      </c>
      <c r="C18" s="54">
        <v>6996.1</v>
      </c>
      <c r="D18" s="28">
        <f t="shared" si="3"/>
        <v>1.4691516169676608</v>
      </c>
      <c r="E18" s="60">
        <v>3644.6</v>
      </c>
      <c r="F18" s="61">
        <v>4701.8999999999996</v>
      </c>
      <c r="G18" s="29">
        <f t="shared" si="0"/>
        <v>1.2901004225429402</v>
      </c>
      <c r="H18" s="29">
        <f t="shared" ref="H18:H32" si="22">E18/B18</f>
        <v>0.76535069298614022</v>
      </c>
      <c r="I18" s="30">
        <f t="shared" ref="I18:I32" si="23">F18/C18</f>
        <v>0.67207444147453577</v>
      </c>
      <c r="J18" s="62">
        <v>3970</v>
      </c>
      <c r="K18" s="52">
        <v>4673.6000000000004</v>
      </c>
      <c r="L18" s="29">
        <f t="shared" si="18"/>
        <v>1.1772292191435769</v>
      </c>
      <c r="M18" s="29">
        <f t="shared" si="5"/>
        <v>1.0892827745157219</v>
      </c>
      <c r="N18" s="30">
        <f t="shared" si="6"/>
        <v>0.99398115655373376</v>
      </c>
      <c r="O18" s="62">
        <v>6450</v>
      </c>
      <c r="P18" s="52">
        <v>7006.8</v>
      </c>
      <c r="Q18" s="216">
        <f t="shared" si="21"/>
        <v>1.086325581395349</v>
      </c>
      <c r="R18" s="216">
        <f t="shared" si="19"/>
        <v>1.6246851385390428</v>
      </c>
      <c r="S18" s="217">
        <f t="shared" si="20"/>
        <v>1.4992297158507359</v>
      </c>
      <c r="T18" s="141">
        <v>5125.4799999999996</v>
      </c>
      <c r="U18" s="142">
        <v>5588.97228</v>
      </c>
      <c r="V18" s="176">
        <f t="shared" si="9"/>
        <v>1.0904290485964243</v>
      </c>
      <c r="W18" s="176">
        <f t="shared" si="10"/>
        <v>0.79464806201550375</v>
      </c>
      <c r="X18" s="177">
        <f t="shared" si="11"/>
        <v>0.79764975166980645</v>
      </c>
      <c r="Y18" s="141">
        <v>4676</v>
      </c>
      <c r="Z18" s="142">
        <v>5092.3999999999996</v>
      </c>
      <c r="AA18" s="176">
        <f t="shared" si="15"/>
        <v>1.0890504704875961</v>
      </c>
      <c r="AB18" s="176">
        <f t="shared" si="16"/>
        <v>0.91230479877006654</v>
      </c>
      <c r="AC18" s="177">
        <f t="shared" si="17"/>
        <v>0.91115141476421846</v>
      </c>
    </row>
    <row r="19" spans="1:29" s="4" customFormat="1" ht="26.5" thickBot="1" x14ac:dyDescent="0.25">
      <c r="A19" s="229" t="s">
        <v>14</v>
      </c>
      <c r="B19" s="62">
        <v>34887</v>
      </c>
      <c r="C19" s="52">
        <v>34896.199999999997</v>
      </c>
      <c r="D19" s="28">
        <f t="shared" si="3"/>
        <v>1.0002637085447301</v>
      </c>
      <c r="E19" s="53">
        <v>9321.2000000000007</v>
      </c>
      <c r="F19" s="54">
        <v>9330.2999999999993</v>
      </c>
      <c r="G19" s="29">
        <f t="shared" si="0"/>
        <v>1.0009762691498947</v>
      </c>
      <c r="H19" s="29">
        <f t="shared" si="22"/>
        <v>0.26718261816722566</v>
      </c>
      <c r="I19" s="30">
        <f t="shared" si="23"/>
        <v>0.26737295178271558</v>
      </c>
      <c r="J19" s="55">
        <v>46607.1</v>
      </c>
      <c r="K19" s="55">
        <v>46623.7</v>
      </c>
      <c r="L19" s="29">
        <f t="shared" si="18"/>
        <v>1.000356168909887</v>
      </c>
      <c r="M19" s="29">
        <f t="shared" si="5"/>
        <v>5.0001180105565801</v>
      </c>
      <c r="N19" s="30">
        <f t="shared" si="6"/>
        <v>4.9970204602210009</v>
      </c>
      <c r="O19" s="55">
        <v>48664.6</v>
      </c>
      <c r="P19" s="55">
        <v>49400</v>
      </c>
      <c r="Q19" s="216">
        <f t="shared" si="21"/>
        <v>1.0151116006296159</v>
      </c>
      <c r="R19" s="216">
        <f t="shared" si="19"/>
        <v>1.0441456344634186</v>
      </c>
      <c r="S19" s="217">
        <f t="shared" si="20"/>
        <v>1.0595469686018055</v>
      </c>
      <c r="T19" s="55">
        <v>39061.048999999999</v>
      </c>
      <c r="U19" s="55">
        <v>39069.809280000001</v>
      </c>
      <c r="V19" s="176">
        <f t="shared" si="9"/>
        <v>1.0002242714986995</v>
      </c>
      <c r="W19" s="176">
        <f t="shared" si="10"/>
        <v>0.80265838001339784</v>
      </c>
      <c r="X19" s="177">
        <f t="shared" si="11"/>
        <v>0.79088682753036443</v>
      </c>
      <c r="Y19" s="55">
        <v>50370.3</v>
      </c>
      <c r="Z19" s="55">
        <v>50289.1</v>
      </c>
      <c r="AA19" s="176">
        <f t="shared" si="15"/>
        <v>0.99838793892432631</v>
      </c>
      <c r="AB19" s="176">
        <f t="shared" si="16"/>
        <v>1.289527580275686</v>
      </c>
      <c r="AC19" s="177">
        <f t="shared" si="17"/>
        <v>1.2871601097306404</v>
      </c>
    </row>
    <row r="20" spans="1:29" s="4" customFormat="1" ht="26.5" thickBot="1" x14ac:dyDescent="0.25">
      <c r="A20" s="231" t="s">
        <v>71</v>
      </c>
      <c r="B20" s="62">
        <v>1758</v>
      </c>
      <c r="C20" s="52">
        <v>1814.8</v>
      </c>
      <c r="D20" s="28">
        <f t="shared" si="3"/>
        <v>1.0323094425483503</v>
      </c>
      <c r="E20" s="53">
        <v>1838.1</v>
      </c>
      <c r="F20" s="54">
        <v>2698.1</v>
      </c>
      <c r="G20" s="29">
        <f t="shared" si="0"/>
        <v>1.4678744355584572</v>
      </c>
      <c r="H20" s="29">
        <f t="shared" si="22"/>
        <v>1.0455631399317407</v>
      </c>
      <c r="I20" s="30">
        <f t="shared" si="23"/>
        <v>1.486720299757549</v>
      </c>
      <c r="J20" s="55">
        <v>17705.900000000001</v>
      </c>
      <c r="K20" s="55">
        <v>17999.400000000001</v>
      </c>
      <c r="L20" s="29">
        <f t="shared" si="18"/>
        <v>1.0165763954388085</v>
      </c>
      <c r="M20" s="29">
        <f t="shared" si="5"/>
        <v>9.632718568086613</v>
      </c>
      <c r="N20" s="30">
        <f t="shared" si="6"/>
        <v>6.6711389496312226</v>
      </c>
      <c r="O20" s="55">
        <v>8998.1</v>
      </c>
      <c r="P20" s="55">
        <v>8962.2000000000007</v>
      </c>
      <c r="Q20" s="216">
        <f t="shared" si="21"/>
        <v>0.99601026883453181</v>
      </c>
      <c r="R20" s="216">
        <f t="shared" si="19"/>
        <v>0.50819783236096439</v>
      </c>
      <c r="S20" s="217">
        <f t="shared" si="20"/>
        <v>0.49791659721990733</v>
      </c>
      <c r="T20" s="55">
        <v>16783.702000000001</v>
      </c>
      <c r="U20" s="55">
        <v>17479.468929999999</v>
      </c>
      <c r="V20" s="176">
        <f t="shared" si="9"/>
        <v>1.0414549144163783</v>
      </c>
      <c r="W20" s="176">
        <f t="shared" si="10"/>
        <v>1.8652495526833444</v>
      </c>
      <c r="X20" s="177">
        <f t="shared" si="11"/>
        <v>1.950354704202093</v>
      </c>
      <c r="Y20" s="55">
        <f>3813.8+14866.8</f>
        <v>18680.599999999999</v>
      </c>
      <c r="Z20" s="55">
        <f>4059.8+15272.8</f>
        <v>19332.599999999999</v>
      </c>
      <c r="AA20" s="176">
        <f t="shared" si="15"/>
        <v>1.0349025191910324</v>
      </c>
      <c r="AB20" s="176">
        <f t="shared" si="16"/>
        <v>1.1130202383240597</v>
      </c>
      <c r="AC20" s="177">
        <f t="shared" si="17"/>
        <v>1.1060175842539171</v>
      </c>
    </row>
    <row r="21" spans="1:29" s="4" customFormat="1" ht="13.5" thickBot="1" x14ac:dyDescent="0.25">
      <c r="A21" s="229" t="s">
        <v>15</v>
      </c>
      <c r="B21" s="62">
        <v>3374.7</v>
      </c>
      <c r="C21" s="52">
        <v>3780.4</v>
      </c>
      <c r="D21" s="28">
        <f t="shared" si="3"/>
        <v>1.1202180934601595</v>
      </c>
      <c r="E21" s="60">
        <v>2699</v>
      </c>
      <c r="F21" s="61">
        <v>3487.1</v>
      </c>
      <c r="G21" s="29">
        <f t="shared" si="0"/>
        <v>1.2919970359392368</v>
      </c>
      <c r="H21" s="29">
        <f t="shared" si="22"/>
        <v>0.79977479479657454</v>
      </c>
      <c r="I21" s="30">
        <f t="shared" si="23"/>
        <v>0.92241561739498457</v>
      </c>
      <c r="J21" s="55">
        <v>2770.7</v>
      </c>
      <c r="K21" s="55">
        <v>3366.7</v>
      </c>
      <c r="L21" s="29">
        <f t="shared" si="18"/>
        <v>1.2151080954271485</v>
      </c>
      <c r="M21" s="29">
        <f t="shared" si="5"/>
        <v>1.026565394590589</v>
      </c>
      <c r="N21" s="30">
        <f t="shared" si="6"/>
        <v>0.96547274239339276</v>
      </c>
      <c r="O21" s="55">
        <v>4537.3999999999996</v>
      </c>
      <c r="P21" s="55">
        <v>4940.3999999999996</v>
      </c>
      <c r="Q21" s="216">
        <f t="shared" si="21"/>
        <v>1.0888173844051661</v>
      </c>
      <c r="R21" s="216">
        <f t="shared" si="19"/>
        <v>1.637636698307287</v>
      </c>
      <c r="S21" s="217">
        <f t="shared" si="20"/>
        <v>1.4674310155344996</v>
      </c>
      <c r="T21" s="55">
        <v>6119.32953</v>
      </c>
      <c r="U21" s="55">
        <v>6377.2621399999998</v>
      </c>
      <c r="V21" s="176">
        <f t="shared" si="9"/>
        <v>1.0421504690563705</v>
      </c>
      <c r="W21" s="176">
        <f t="shared" si="10"/>
        <v>1.34864229073919</v>
      </c>
      <c r="X21" s="177">
        <f t="shared" si="11"/>
        <v>1.2908392316411628</v>
      </c>
      <c r="Y21" s="55">
        <v>5234.5</v>
      </c>
      <c r="Z21" s="55">
        <v>4902.7</v>
      </c>
      <c r="AA21" s="176">
        <f t="shared" si="15"/>
        <v>0.93661285700639985</v>
      </c>
      <c r="AB21" s="176">
        <f t="shared" si="16"/>
        <v>0.85540417039773309</v>
      </c>
      <c r="AC21" s="177">
        <f t="shared" si="17"/>
        <v>0.76877818292098621</v>
      </c>
    </row>
    <row r="22" spans="1:29" s="4" customFormat="1" ht="13.5" thickBot="1" x14ac:dyDescent="0.25">
      <c r="A22" s="229" t="s">
        <v>16</v>
      </c>
      <c r="B22" s="58"/>
      <c r="C22" s="54">
        <v>212.1</v>
      </c>
      <c r="D22" s="28">
        <v>0</v>
      </c>
      <c r="E22" s="56">
        <v>5469.5</v>
      </c>
      <c r="F22" s="54">
        <v>4832.2</v>
      </c>
      <c r="G22" s="29">
        <f t="shared" si="0"/>
        <v>0.8834811225889021</v>
      </c>
      <c r="H22" s="29">
        <v>0</v>
      </c>
      <c r="I22" s="30">
        <f t="shared" si="23"/>
        <v>22.782649693540783</v>
      </c>
      <c r="J22" s="58">
        <v>1090.4000000000001</v>
      </c>
      <c r="K22" s="54">
        <v>1361.1</v>
      </c>
      <c r="L22" s="29">
        <f t="shared" si="18"/>
        <v>1.2482575201760819</v>
      </c>
      <c r="M22" s="29">
        <f t="shared" si="5"/>
        <v>0.19936008775939301</v>
      </c>
      <c r="N22" s="30">
        <f t="shared" si="6"/>
        <v>0.28167294400066223</v>
      </c>
      <c r="O22" s="58">
        <v>1079</v>
      </c>
      <c r="P22" s="54">
        <v>797.7</v>
      </c>
      <c r="Q22" s="216">
        <f t="shared" si="21"/>
        <v>0.73929564411492121</v>
      </c>
      <c r="R22" s="216">
        <f t="shared" si="19"/>
        <v>0.98954512105649295</v>
      </c>
      <c r="S22" s="217">
        <f t="shared" si="20"/>
        <v>0.58607009036808466</v>
      </c>
      <c r="T22" s="143">
        <v>4433</v>
      </c>
      <c r="U22" s="144">
        <v>4421.3785900000003</v>
      </c>
      <c r="V22" s="176">
        <f t="shared" si="9"/>
        <v>0.99737843221294842</v>
      </c>
      <c r="W22" s="176">
        <f t="shared" si="10"/>
        <v>4.1084337349397586</v>
      </c>
      <c r="X22" s="177">
        <f t="shared" si="11"/>
        <v>5.5426583803434877</v>
      </c>
      <c r="Y22" s="143">
        <v>0</v>
      </c>
      <c r="Z22" s="144">
        <v>2812.4</v>
      </c>
      <c r="AA22" s="176">
        <v>0</v>
      </c>
      <c r="AB22" s="176">
        <f t="shared" si="16"/>
        <v>0</v>
      </c>
      <c r="AC22" s="177">
        <f t="shared" si="17"/>
        <v>0.63609119706711204</v>
      </c>
    </row>
    <row r="23" spans="1:29" s="4" customFormat="1" ht="21.5" thickBot="1" x14ac:dyDescent="0.25">
      <c r="A23" s="232" t="s">
        <v>26</v>
      </c>
      <c r="B23" s="113"/>
      <c r="C23" s="127">
        <v>-9151.7999999999993</v>
      </c>
      <c r="D23" s="128">
        <v>0</v>
      </c>
      <c r="E23" s="126"/>
      <c r="F23" s="129">
        <v>-56570</v>
      </c>
      <c r="G23" s="111">
        <v>0</v>
      </c>
      <c r="H23" s="111">
        <v>0</v>
      </c>
      <c r="I23" s="112">
        <f>F23/C23</f>
        <v>6.1812976682182743</v>
      </c>
      <c r="J23" s="113"/>
      <c r="K23" s="114">
        <v>-4351.5</v>
      </c>
      <c r="L23" s="111">
        <v>0</v>
      </c>
      <c r="M23" s="111">
        <v>0</v>
      </c>
      <c r="N23" s="112">
        <f>K23/F23</f>
        <v>7.6922397030228032E-2</v>
      </c>
      <c r="O23" s="55">
        <v>0</v>
      </c>
      <c r="P23" s="147">
        <v>-21318.400000000001</v>
      </c>
      <c r="Q23" s="216">
        <v>0</v>
      </c>
      <c r="R23" s="216">
        <v>0</v>
      </c>
      <c r="S23" s="217">
        <f>P23/K23</f>
        <v>4.899092267034356</v>
      </c>
      <c r="T23" s="140">
        <v>0</v>
      </c>
      <c r="U23" s="55">
        <v>-17168.078150000001</v>
      </c>
      <c r="V23" s="176">
        <v>0</v>
      </c>
      <c r="W23" s="176">
        <v>0</v>
      </c>
      <c r="X23" s="177">
        <f>U23/P23</f>
        <v>0.80531738545106579</v>
      </c>
      <c r="Y23" s="140">
        <v>0</v>
      </c>
      <c r="Z23" s="140">
        <v>0</v>
      </c>
      <c r="AA23" s="176">
        <v>0</v>
      </c>
      <c r="AB23" s="176">
        <v>0</v>
      </c>
      <c r="AC23" s="176">
        <v>0</v>
      </c>
    </row>
    <row r="24" spans="1:29" s="4" customFormat="1" ht="26.5" thickBot="1" x14ac:dyDescent="0.25">
      <c r="A24" s="229" t="s">
        <v>27</v>
      </c>
      <c r="B24" s="62">
        <v>41.6</v>
      </c>
      <c r="C24" s="52">
        <v>41.7</v>
      </c>
      <c r="D24" s="28">
        <f t="shared" si="3"/>
        <v>1.0024038461538463</v>
      </c>
      <c r="E24" s="60"/>
      <c r="F24" s="61"/>
      <c r="G24" s="29">
        <v>0</v>
      </c>
      <c r="H24" s="29">
        <f t="shared" si="22"/>
        <v>0</v>
      </c>
      <c r="I24" s="30">
        <f t="shared" si="23"/>
        <v>0</v>
      </c>
      <c r="J24" s="55"/>
      <c r="K24" s="52"/>
      <c r="L24" s="29">
        <v>0</v>
      </c>
      <c r="M24" s="29">
        <v>0</v>
      </c>
      <c r="N24" s="30">
        <v>0</v>
      </c>
      <c r="O24" s="55">
        <v>0</v>
      </c>
      <c r="P24" s="52">
        <v>0</v>
      </c>
      <c r="Q24" s="216">
        <v>0</v>
      </c>
      <c r="R24" s="216">
        <v>0</v>
      </c>
      <c r="S24" s="217">
        <v>0</v>
      </c>
      <c r="T24" s="55">
        <v>0</v>
      </c>
      <c r="U24" s="52">
        <v>0</v>
      </c>
      <c r="V24" s="176">
        <v>0</v>
      </c>
      <c r="W24" s="176">
        <v>0</v>
      </c>
      <c r="X24" s="177">
        <v>0</v>
      </c>
      <c r="Y24" s="55">
        <v>0</v>
      </c>
      <c r="Z24" s="52">
        <v>0</v>
      </c>
      <c r="AA24" s="176">
        <v>0</v>
      </c>
      <c r="AB24" s="176">
        <v>0</v>
      </c>
      <c r="AC24" s="177">
        <v>0</v>
      </c>
    </row>
    <row r="25" spans="1:29" s="4" customFormat="1" ht="26.5" thickBot="1" x14ac:dyDescent="0.25">
      <c r="A25" s="229" t="s">
        <v>28</v>
      </c>
      <c r="B25" s="62">
        <v>30000</v>
      </c>
      <c r="C25" s="52">
        <v>30200</v>
      </c>
      <c r="D25" s="28">
        <f t="shared" si="3"/>
        <v>1.0066666666666666</v>
      </c>
      <c r="E25" s="56">
        <v>1638.4</v>
      </c>
      <c r="F25" s="54">
        <v>1638.4</v>
      </c>
      <c r="G25" s="29">
        <f t="shared" si="0"/>
        <v>1</v>
      </c>
      <c r="H25" s="29">
        <f t="shared" si="22"/>
        <v>5.4613333333333333E-2</v>
      </c>
      <c r="I25" s="30">
        <f t="shared" si="23"/>
        <v>5.4251655629139077E-2</v>
      </c>
      <c r="J25" s="62">
        <v>300</v>
      </c>
      <c r="K25" s="52">
        <v>300</v>
      </c>
      <c r="L25" s="29">
        <f t="shared" si="18"/>
        <v>1</v>
      </c>
      <c r="M25" s="29">
        <f t="shared" si="5"/>
        <v>0.18310546875</v>
      </c>
      <c r="N25" s="30">
        <f t="shared" si="6"/>
        <v>0.18310546875</v>
      </c>
      <c r="O25" s="62">
        <v>2300</v>
      </c>
      <c r="P25" s="52">
        <v>5200</v>
      </c>
      <c r="Q25" s="216">
        <f t="shared" ref="Q25:Q32" si="24">P25/O25</f>
        <v>2.2608695652173911</v>
      </c>
      <c r="R25" s="216">
        <f>O25/J25</f>
        <v>7.666666666666667</v>
      </c>
      <c r="S25" s="217">
        <f>P25/K25</f>
        <v>17.333333333333332</v>
      </c>
      <c r="T25" s="62">
        <v>0</v>
      </c>
      <c r="U25" s="52">
        <v>-2.0000000000000001E-4</v>
      </c>
      <c r="V25" s="176">
        <v>0</v>
      </c>
      <c r="W25" s="176">
        <f t="shared" si="10"/>
        <v>0</v>
      </c>
      <c r="X25" s="177">
        <f t="shared" si="11"/>
        <v>-3.8461538461538461E-8</v>
      </c>
      <c r="Y25" s="62">
        <v>0</v>
      </c>
      <c r="Z25" s="52">
        <v>-2.0000000000000001E-4</v>
      </c>
      <c r="AA25" s="176">
        <v>0</v>
      </c>
      <c r="AB25" s="176">
        <v>0</v>
      </c>
      <c r="AC25" s="176">
        <v>0</v>
      </c>
    </row>
    <row r="26" spans="1:29" s="5" customFormat="1" ht="24.75" customHeight="1" thickBot="1" x14ac:dyDescent="0.25">
      <c r="A26" s="233" t="s">
        <v>20</v>
      </c>
      <c r="B26" s="27">
        <f>SUM(B28:B31)</f>
        <v>866985.7</v>
      </c>
      <c r="C26" s="25">
        <f>SUM(C28:C31)</f>
        <v>852061.2</v>
      </c>
      <c r="D26" s="130">
        <f t="shared" si="3"/>
        <v>0.982785759903537</v>
      </c>
      <c r="E26" s="24">
        <f>SUM(E28:E31)</f>
        <v>685154.4</v>
      </c>
      <c r="F26" s="25">
        <f>SUM(F28:F31)</f>
        <v>669945.30000000005</v>
      </c>
      <c r="G26" s="133">
        <f t="shared" ref="G26:G32" si="25">F26/E26</f>
        <v>0.97780193778219915</v>
      </c>
      <c r="H26" s="133">
        <f t="shared" si="22"/>
        <v>0.79027185800181021</v>
      </c>
      <c r="I26" s="26">
        <f t="shared" si="23"/>
        <v>0.78626429650827911</v>
      </c>
      <c r="J26" s="27">
        <f>SUM(J28:J31)</f>
        <v>1110464.7000000002</v>
      </c>
      <c r="K26" s="25">
        <f>SUM(K28:K31)</f>
        <v>1001215.1</v>
      </c>
      <c r="L26" s="133">
        <f t="shared" ref="L26:L32" si="26">K26/J26</f>
        <v>0.90161812437621813</v>
      </c>
      <c r="M26" s="133">
        <f t="shared" si="5"/>
        <v>1.6207510307165802</v>
      </c>
      <c r="N26" s="26">
        <f t="shared" si="6"/>
        <v>1.4944729069671807</v>
      </c>
      <c r="O26" s="214">
        <f>SUM(O28:O31)</f>
        <v>1046643.8</v>
      </c>
      <c r="P26" s="213">
        <f>SUM(P28:P31)</f>
        <v>1006876.5</v>
      </c>
      <c r="Q26" s="202">
        <f t="shared" si="24"/>
        <v>0.96200493424792655</v>
      </c>
      <c r="R26" s="202">
        <f t="shared" ref="R26:R32" si="27">O26/J26</f>
        <v>0.9425277543716607</v>
      </c>
      <c r="S26" s="203">
        <f t="shared" ref="S26:S32" si="28">P26/K26</f>
        <v>1.0056545291815915</v>
      </c>
      <c r="T26" s="214">
        <f>SUM(T28:T31)</f>
        <v>805062.35440000007</v>
      </c>
      <c r="U26" s="213">
        <f>SUM(U28:U31)</f>
        <v>786380.67936999991</v>
      </c>
      <c r="V26" s="176">
        <f t="shared" si="9"/>
        <v>0.97679474772618913</v>
      </c>
      <c r="W26" s="176">
        <f t="shared" si="10"/>
        <v>0.76918465900242283</v>
      </c>
      <c r="X26" s="177">
        <f t="shared" si="11"/>
        <v>0.7810100636671925</v>
      </c>
      <c r="Y26" s="214">
        <f>SUM(Y28:Y31)</f>
        <v>908983.4</v>
      </c>
      <c r="Z26" s="213">
        <f>SUM(Z27:Z31)</f>
        <v>899886.99999999988</v>
      </c>
      <c r="AA26" s="176">
        <f t="shared" ref="AA26:AA31" si="29">Z26/Y26</f>
        <v>0.98999277654575413</v>
      </c>
      <c r="AB26" s="176">
        <f t="shared" ref="AB26:AB31" si="30">Y26/T26</f>
        <v>1.1290844678452896</v>
      </c>
      <c r="AC26" s="177">
        <f t="shared" ref="AC26:AC35" si="31">Z26/U26</f>
        <v>1.1443401695994544</v>
      </c>
    </row>
    <row r="27" spans="1:29" s="5" customFormat="1" ht="24.75" customHeight="1" thickBot="1" x14ac:dyDescent="0.25">
      <c r="A27" s="234" t="s">
        <v>26</v>
      </c>
      <c r="B27" s="27"/>
      <c r="C27" s="25"/>
      <c r="D27" s="130"/>
      <c r="E27" s="24"/>
      <c r="F27" s="25"/>
      <c r="G27" s="133"/>
      <c r="H27" s="133"/>
      <c r="I27" s="26"/>
      <c r="J27" s="131"/>
      <c r="K27" s="132"/>
      <c r="L27" s="133"/>
      <c r="M27" s="133"/>
      <c r="N27" s="26"/>
      <c r="O27" s="145">
        <v>0</v>
      </c>
      <c r="P27" s="146">
        <v>0</v>
      </c>
      <c r="Q27" s="202">
        <v>0</v>
      </c>
      <c r="R27" s="202">
        <v>0</v>
      </c>
      <c r="S27" s="203">
        <v>0</v>
      </c>
      <c r="T27" s="55">
        <v>0</v>
      </c>
      <c r="U27" s="52">
        <v>0</v>
      </c>
      <c r="V27" s="176">
        <v>0</v>
      </c>
      <c r="W27" s="176">
        <v>0</v>
      </c>
      <c r="X27" s="177">
        <v>0</v>
      </c>
      <c r="Y27" s="145">
        <v>0</v>
      </c>
      <c r="Z27" s="147">
        <f>275.3-501.3</f>
        <v>-226</v>
      </c>
      <c r="AA27" s="176">
        <v>0</v>
      </c>
      <c r="AB27" s="176">
        <v>0</v>
      </c>
      <c r="AC27" s="177">
        <v>0</v>
      </c>
    </row>
    <row r="28" spans="1:29" s="5" customFormat="1" ht="13.5" thickBot="1" x14ac:dyDescent="0.25">
      <c r="A28" s="235" t="s">
        <v>17</v>
      </c>
      <c r="B28" s="62">
        <v>155878.39999999999</v>
      </c>
      <c r="C28" s="52">
        <v>155878.39999999999</v>
      </c>
      <c r="D28" s="28">
        <f t="shared" si="3"/>
        <v>1</v>
      </c>
      <c r="E28" s="60">
        <v>69368.7</v>
      </c>
      <c r="F28" s="61">
        <v>69368.7</v>
      </c>
      <c r="G28" s="29">
        <f t="shared" si="25"/>
        <v>1</v>
      </c>
      <c r="H28" s="29">
        <f t="shared" si="22"/>
        <v>0.44501803970274267</v>
      </c>
      <c r="I28" s="30">
        <f t="shared" si="23"/>
        <v>0.44501803970274267</v>
      </c>
      <c r="J28" s="55">
        <v>149417.70000000001</v>
      </c>
      <c r="K28" s="55">
        <v>149417.70000000001</v>
      </c>
      <c r="L28" s="29">
        <f t="shared" si="26"/>
        <v>1</v>
      </c>
      <c r="M28" s="29">
        <f t="shared" si="5"/>
        <v>2.1539642518888202</v>
      </c>
      <c r="N28" s="30">
        <f t="shared" si="6"/>
        <v>2.1539642518888202</v>
      </c>
      <c r="O28" s="55">
        <v>85645</v>
      </c>
      <c r="P28" s="55">
        <v>85645</v>
      </c>
      <c r="Q28" s="216">
        <f t="shared" si="24"/>
        <v>1</v>
      </c>
      <c r="R28" s="216">
        <f t="shared" si="27"/>
        <v>0.57319179722348823</v>
      </c>
      <c r="S28" s="217">
        <f t="shared" si="28"/>
        <v>0.57319179722348823</v>
      </c>
      <c r="T28" s="55">
        <v>36614.5</v>
      </c>
      <c r="U28" s="55">
        <v>36614.5</v>
      </c>
      <c r="V28" s="176">
        <f t="shared" si="9"/>
        <v>1</v>
      </c>
      <c r="W28" s="176">
        <f t="shared" si="10"/>
        <v>0.42751474108237492</v>
      </c>
      <c r="X28" s="177">
        <f t="shared" si="11"/>
        <v>0.42751474108237492</v>
      </c>
      <c r="Y28" s="55">
        <v>78265.5</v>
      </c>
      <c r="Z28" s="55">
        <v>78265.5</v>
      </c>
      <c r="AA28" s="176">
        <f t="shared" si="29"/>
        <v>1</v>
      </c>
      <c r="AB28" s="176">
        <f>Y28/T28</f>
        <v>2.1375547938658181</v>
      </c>
      <c r="AC28" s="177">
        <f>Z28/U28</f>
        <v>2.1375547938658181</v>
      </c>
    </row>
    <row r="29" spans="1:29" s="5" customFormat="1" ht="13.5" thickBot="1" x14ac:dyDescent="0.25">
      <c r="A29" s="235" t="s">
        <v>18</v>
      </c>
      <c r="B29" s="62">
        <v>412446.1</v>
      </c>
      <c r="C29" s="52">
        <v>402213.2</v>
      </c>
      <c r="D29" s="28">
        <f t="shared" si="3"/>
        <v>0.97518972782140512</v>
      </c>
      <c r="E29" s="60">
        <v>308622.3</v>
      </c>
      <c r="F29" s="61">
        <v>301352.7</v>
      </c>
      <c r="G29" s="29">
        <f t="shared" si="25"/>
        <v>0.97644499441550403</v>
      </c>
      <c r="H29" s="29">
        <f t="shared" si="22"/>
        <v>0.74827304707209019</v>
      </c>
      <c r="I29" s="30">
        <f t="shared" si="23"/>
        <v>0.74923622596175365</v>
      </c>
      <c r="J29" s="55">
        <v>401026.9</v>
      </c>
      <c r="K29" s="55">
        <v>392581.8</v>
      </c>
      <c r="L29" s="29">
        <f t="shared" si="26"/>
        <v>0.97894131291442033</v>
      </c>
      <c r="M29" s="29">
        <f t="shared" si="5"/>
        <v>1.2994099907880929</v>
      </c>
      <c r="N29" s="30">
        <f t="shared" si="6"/>
        <v>1.302731981495437</v>
      </c>
      <c r="O29" s="55">
        <v>235159.9</v>
      </c>
      <c r="P29" s="55">
        <v>225196.6</v>
      </c>
      <c r="Q29" s="216">
        <f t="shared" si="24"/>
        <v>0.95763180712357854</v>
      </c>
      <c r="R29" s="216">
        <f t="shared" si="27"/>
        <v>0.5863943291584679</v>
      </c>
      <c r="S29" s="217">
        <f t="shared" si="28"/>
        <v>0.57362975053861387</v>
      </c>
      <c r="T29" s="55">
        <v>173545.08399000001</v>
      </c>
      <c r="U29" s="55">
        <v>166806.96601999999</v>
      </c>
      <c r="V29" s="176">
        <f t="shared" si="9"/>
        <v>0.96117367421143263</v>
      </c>
      <c r="W29" s="176">
        <f t="shared" si="10"/>
        <v>0.7379875735191247</v>
      </c>
      <c r="X29" s="177">
        <f t="shared" si="11"/>
        <v>0.74071707130569464</v>
      </c>
      <c r="Y29" s="55">
        <v>214367.8</v>
      </c>
      <c r="Z29" s="55">
        <v>213126.2</v>
      </c>
      <c r="AA29" s="176">
        <f t="shared" si="29"/>
        <v>0.99420808535610306</v>
      </c>
      <c r="AB29" s="176">
        <f t="shared" si="30"/>
        <v>1.2352283053569657</v>
      </c>
      <c r="AC29" s="177">
        <f t="shared" si="31"/>
        <v>1.2776816525422949</v>
      </c>
    </row>
    <row r="30" spans="1:29" s="5" customFormat="1" ht="13.5" thickBot="1" x14ac:dyDescent="0.25">
      <c r="A30" s="235" t="s">
        <v>19</v>
      </c>
      <c r="B30" s="62">
        <v>287443.20000000001</v>
      </c>
      <c r="C30" s="52">
        <v>285940.40000000002</v>
      </c>
      <c r="D30" s="28">
        <f t="shared" si="3"/>
        <v>0.99477183666199098</v>
      </c>
      <c r="E30" s="60">
        <v>307068.09999999998</v>
      </c>
      <c r="F30" s="61">
        <v>299128.59999999998</v>
      </c>
      <c r="G30" s="29">
        <f t="shared" si="25"/>
        <v>0.97414417192798597</v>
      </c>
      <c r="H30" s="29">
        <f t="shared" si="22"/>
        <v>1.0682740103088191</v>
      </c>
      <c r="I30" s="30">
        <f t="shared" si="23"/>
        <v>1.0461221988917968</v>
      </c>
      <c r="J30" s="55">
        <v>330015.90000000002</v>
      </c>
      <c r="K30" s="55">
        <v>323914.5</v>
      </c>
      <c r="L30" s="29">
        <f t="shared" si="26"/>
        <v>0.98151179988600545</v>
      </c>
      <c r="M30" s="29">
        <f t="shared" si="5"/>
        <v>1.0747319568525679</v>
      </c>
      <c r="N30" s="30">
        <f t="shared" si="6"/>
        <v>1.0828603483585322</v>
      </c>
      <c r="O30" s="55">
        <v>527486.80000000005</v>
      </c>
      <c r="P30" s="55">
        <v>521457.7</v>
      </c>
      <c r="Q30" s="216">
        <f t="shared" si="24"/>
        <v>0.98857014052294767</v>
      </c>
      <c r="R30" s="216">
        <f t="shared" si="27"/>
        <v>1.5983678362163762</v>
      </c>
      <c r="S30" s="217">
        <f t="shared" si="28"/>
        <v>1.6098621704184284</v>
      </c>
      <c r="T30" s="147">
        <v>544644.75488000002</v>
      </c>
      <c r="U30" s="147">
        <v>536575.81334999995</v>
      </c>
      <c r="V30" s="176">
        <f t="shared" si="9"/>
        <v>0.98518494586112759</v>
      </c>
      <c r="W30" s="176">
        <f t="shared" si="10"/>
        <v>1.0325277426468302</v>
      </c>
      <c r="X30" s="177">
        <f t="shared" si="11"/>
        <v>1.0289920224593481</v>
      </c>
      <c r="Y30" s="147">
        <v>570695.5</v>
      </c>
      <c r="Z30" s="147">
        <v>563600.69999999995</v>
      </c>
      <c r="AA30" s="176">
        <f t="shared" si="29"/>
        <v>0.98756815149234567</v>
      </c>
      <c r="AB30" s="176">
        <f t="shared" si="30"/>
        <v>1.0478307096260198</v>
      </c>
      <c r="AC30" s="177">
        <f t="shared" si="31"/>
        <v>1.050365458109779</v>
      </c>
    </row>
    <row r="31" spans="1:29" s="5" customFormat="1" ht="28.5" customHeight="1" thickBot="1" x14ac:dyDescent="0.25">
      <c r="A31" s="235" t="s">
        <v>47</v>
      </c>
      <c r="B31" s="228">
        <v>11218</v>
      </c>
      <c r="C31" s="63">
        <v>8029.2</v>
      </c>
      <c r="D31" s="28">
        <f t="shared" si="3"/>
        <v>0.71574255660545549</v>
      </c>
      <c r="E31" s="53">
        <v>95.3</v>
      </c>
      <c r="F31" s="54">
        <v>95.3</v>
      </c>
      <c r="G31" s="29">
        <f t="shared" si="25"/>
        <v>1</v>
      </c>
      <c r="H31" s="29">
        <f t="shared" si="22"/>
        <v>8.4952754501693706E-3</v>
      </c>
      <c r="I31" s="30">
        <f t="shared" si="23"/>
        <v>1.1869177502117271E-2</v>
      </c>
      <c r="J31" s="55">
        <v>230004.2</v>
      </c>
      <c r="K31" s="55">
        <v>135301.1</v>
      </c>
      <c r="L31" s="29">
        <f t="shared" si="26"/>
        <v>0.58825491012772813</v>
      </c>
      <c r="M31" s="29">
        <f t="shared" si="5"/>
        <v>2413.475341028332</v>
      </c>
      <c r="N31" s="30">
        <f t="shared" si="6"/>
        <v>1419.7387198321092</v>
      </c>
      <c r="O31" s="55">
        <f>O32+O33+O34+O35</f>
        <v>198352.1</v>
      </c>
      <c r="P31" s="55">
        <f>P32+P33+P34+P35</f>
        <v>174577.2</v>
      </c>
      <c r="Q31" s="216">
        <f>P31/O31</f>
        <v>0.88013789619570459</v>
      </c>
      <c r="R31" s="216">
        <f t="shared" si="27"/>
        <v>0.86238468688832637</v>
      </c>
      <c r="S31" s="217">
        <f t="shared" si="28"/>
        <v>1.2902866273814477</v>
      </c>
      <c r="T31" s="147">
        <f>SUM(T32:T35)</f>
        <v>50258.015529999997</v>
      </c>
      <c r="U31" s="147">
        <f>SUM(U32:U35)</f>
        <v>46383.4</v>
      </c>
      <c r="V31" s="176">
        <f t="shared" si="9"/>
        <v>0.92290552085791844</v>
      </c>
      <c r="W31" s="176">
        <f t="shared" si="10"/>
        <v>0.25337778390044774</v>
      </c>
      <c r="X31" s="177">
        <f t="shared" si="11"/>
        <v>0.26568990681486471</v>
      </c>
      <c r="Y31" s="147">
        <v>45654.6</v>
      </c>
      <c r="Z31" s="147">
        <v>45120.6</v>
      </c>
      <c r="AA31" s="176">
        <f t="shared" si="29"/>
        <v>0.98830347872941604</v>
      </c>
      <c r="AB31" s="176">
        <f t="shared" si="30"/>
        <v>0.90840435139640308</v>
      </c>
      <c r="AC31" s="177">
        <f t="shared" si="31"/>
        <v>0.97277474268811681</v>
      </c>
    </row>
    <row r="32" spans="1:29" s="14" customFormat="1" ht="29.5" customHeight="1" thickBot="1" x14ac:dyDescent="0.25">
      <c r="A32" s="236" t="s">
        <v>45</v>
      </c>
      <c r="B32" s="76">
        <v>11218</v>
      </c>
      <c r="C32" s="66">
        <v>8029.2</v>
      </c>
      <c r="D32" s="31">
        <f t="shared" si="3"/>
        <v>0.71574255660545549</v>
      </c>
      <c r="E32" s="67">
        <v>95.3</v>
      </c>
      <c r="F32" s="68">
        <v>95.3</v>
      </c>
      <c r="G32" s="32">
        <f t="shared" si="25"/>
        <v>1</v>
      </c>
      <c r="H32" s="32">
        <f t="shared" si="22"/>
        <v>8.4952754501693706E-3</v>
      </c>
      <c r="I32" s="33">
        <f t="shared" si="23"/>
        <v>1.1869177502117271E-2</v>
      </c>
      <c r="J32" s="69">
        <v>95.2</v>
      </c>
      <c r="K32" s="69">
        <v>95.2</v>
      </c>
      <c r="L32" s="32">
        <f t="shared" si="26"/>
        <v>1</v>
      </c>
      <c r="M32" s="32">
        <f t="shared" si="5"/>
        <v>0.99895068205666326</v>
      </c>
      <c r="N32" s="33">
        <f t="shared" si="6"/>
        <v>0.99895068205666326</v>
      </c>
      <c r="O32" s="69">
        <v>50</v>
      </c>
      <c r="P32" s="69">
        <v>50</v>
      </c>
      <c r="Q32" s="186">
        <f t="shared" si="24"/>
        <v>1</v>
      </c>
      <c r="R32" s="186">
        <f t="shared" si="27"/>
        <v>0.52521008403361347</v>
      </c>
      <c r="S32" s="218">
        <f t="shared" si="28"/>
        <v>0.52521008403361347</v>
      </c>
      <c r="T32" s="148">
        <v>0</v>
      </c>
      <c r="U32" s="148">
        <v>0</v>
      </c>
      <c r="V32" s="176">
        <v>0</v>
      </c>
      <c r="W32" s="176">
        <f t="shared" si="10"/>
        <v>0</v>
      </c>
      <c r="X32" s="177">
        <f t="shared" si="11"/>
        <v>0</v>
      </c>
      <c r="Y32" s="148">
        <v>0</v>
      </c>
      <c r="Z32" s="148">
        <v>0</v>
      </c>
      <c r="AA32" s="176">
        <v>0</v>
      </c>
      <c r="AB32" s="176">
        <v>0</v>
      </c>
      <c r="AC32" s="176">
        <v>0</v>
      </c>
    </row>
    <row r="33" spans="1:29" s="14" customFormat="1" ht="26.25" customHeight="1" thickBot="1" x14ac:dyDescent="0.25">
      <c r="A33" s="64" t="s">
        <v>46</v>
      </c>
      <c r="B33" s="70"/>
      <c r="C33" s="71"/>
      <c r="D33" s="31">
        <v>0</v>
      </c>
      <c r="E33" s="67"/>
      <c r="F33" s="68"/>
      <c r="G33" s="32">
        <v>0</v>
      </c>
      <c r="H33" s="32">
        <v>0</v>
      </c>
      <c r="I33" s="33">
        <v>0</v>
      </c>
      <c r="J33" s="72">
        <v>205153.7</v>
      </c>
      <c r="K33" s="68">
        <v>114269.8</v>
      </c>
      <c r="L33" s="32">
        <f>K33/J33</f>
        <v>0.55699604735376451</v>
      </c>
      <c r="M33" s="32">
        <v>0</v>
      </c>
      <c r="N33" s="33">
        <v>0</v>
      </c>
      <c r="O33" s="72">
        <v>177783.1</v>
      </c>
      <c r="P33" s="68">
        <v>159099.70000000001</v>
      </c>
      <c r="Q33" s="186">
        <f>P33/O33</f>
        <v>0.89490902116117899</v>
      </c>
      <c r="R33" s="186">
        <f t="shared" ref="R33:S35" si="32">O33/J33</f>
        <v>0.86658490682839251</v>
      </c>
      <c r="S33" s="218">
        <f t="shared" si="32"/>
        <v>1.3923162550385142</v>
      </c>
      <c r="T33" s="149">
        <f>49315.09553</f>
        <v>49315.095529999999</v>
      </c>
      <c r="U33" s="150">
        <v>45441.7</v>
      </c>
      <c r="V33" s="176">
        <f t="shared" si="9"/>
        <v>0.92145618925864825</v>
      </c>
      <c r="W33" s="176">
        <f>T33/O33</f>
        <v>0.27738910801982863</v>
      </c>
      <c r="X33" s="177">
        <f t="shared" si="11"/>
        <v>0.28561776043575188</v>
      </c>
      <c r="Y33" s="149">
        <v>45206.400000000001</v>
      </c>
      <c r="Z33" s="150">
        <v>44672.3</v>
      </c>
      <c r="AA33" s="176">
        <f t="shared" ref="AA33:AA35" si="33">Z33/Y33</f>
        <v>0.98818530119629078</v>
      </c>
      <c r="AB33" s="176">
        <f>Y33/T33</f>
        <v>0.91668483076342122</v>
      </c>
      <c r="AC33" s="177">
        <f t="shared" si="31"/>
        <v>0.98306841513411702</v>
      </c>
    </row>
    <row r="34" spans="1:29" s="14" customFormat="1" ht="23.25" customHeight="1" thickBot="1" x14ac:dyDescent="0.25">
      <c r="A34" s="64" t="s">
        <v>48</v>
      </c>
      <c r="B34" s="70"/>
      <c r="C34" s="71"/>
      <c r="D34" s="31">
        <v>0</v>
      </c>
      <c r="E34" s="67"/>
      <c r="F34" s="68"/>
      <c r="G34" s="32">
        <v>0</v>
      </c>
      <c r="H34" s="32">
        <v>0</v>
      </c>
      <c r="I34" s="33">
        <v>0</v>
      </c>
      <c r="J34" s="72">
        <v>24505.3</v>
      </c>
      <c r="K34" s="68">
        <v>20686</v>
      </c>
      <c r="L34" s="32">
        <f>K34/J34</f>
        <v>0.84414391988671844</v>
      </c>
      <c r="M34" s="32">
        <v>0</v>
      </c>
      <c r="N34" s="33">
        <v>0</v>
      </c>
      <c r="O34" s="72">
        <v>20269</v>
      </c>
      <c r="P34" s="68">
        <v>15177.5</v>
      </c>
      <c r="Q34" s="186">
        <f>P34/O34</f>
        <v>0.74880359169174604</v>
      </c>
      <c r="R34" s="186">
        <f t="shared" si="32"/>
        <v>0.82712719289296599</v>
      </c>
      <c r="S34" s="218">
        <f t="shared" si="32"/>
        <v>0.73370878855264432</v>
      </c>
      <c r="T34" s="72">
        <v>518.52</v>
      </c>
      <c r="U34" s="68">
        <v>517.29999999999995</v>
      </c>
      <c r="V34" s="176">
        <f t="shared" si="9"/>
        <v>0.99764714957957257</v>
      </c>
      <c r="W34" s="176">
        <f t="shared" si="10"/>
        <v>2.5581923133849719E-2</v>
      </c>
      <c r="X34" s="177">
        <f t="shared" si="11"/>
        <v>3.4083347059792456E-2</v>
      </c>
      <c r="Y34" s="72">
        <v>0</v>
      </c>
      <c r="Z34" s="68">
        <v>0</v>
      </c>
      <c r="AA34" s="178">
        <v>0</v>
      </c>
      <c r="AB34" s="176">
        <f t="shared" ref="AB34:AB35" si="34">Y34/T34</f>
        <v>0</v>
      </c>
      <c r="AC34" s="177">
        <f t="shared" si="31"/>
        <v>0</v>
      </c>
    </row>
    <row r="35" spans="1:29" s="14" customFormat="1" ht="27" x14ac:dyDescent="0.2">
      <c r="A35" s="73" t="s">
        <v>57</v>
      </c>
      <c r="B35" s="74"/>
      <c r="C35" s="75"/>
      <c r="D35" s="34">
        <v>0</v>
      </c>
      <c r="E35" s="65"/>
      <c r="F35" s="66"/>
      <c r="G35" s="35">
        <v>0</v>
      </c>
      <c r="H35" s="35">
        <v>0</v>
      </c>
      <c r="I35" s="36">
        <v>0</v>
      </c>
      <c r="J35" s="76">
        <v>250</v>
      </c>
      <c r="K35" s="66">
        <v>250</v>
      </c>
      <c r="L35" s="35">
        <f>K35/J35</f>
        <v>1</v>
      </c>
      <c r="M35" s="35">
        <v>0</v>
      </c>
      <c r="N35" s="36">
        <v>0</v>
      </c>
      <c r="O35" s="76">
        <v>250</v>
      </c>
      <c r="P35" s="66">
        <v>250</v>
      </c>
      <c r="Q35" s="178">
        <f>P35/O35</f>
        <v>1</v>
      </c>
      <c r="R35" s="178">
        <f t="shared" si="32"/>
        <v>1</v>
      </c>
      <c r="S35" s="183">
        <f t="shared" si="32"/>
        <v>1</v>
      </c>
      <c r="T35" s="76">
        <v>424.4</v>
      </c>
      <c r="U35" s="66">
        <v>424.4</v>
      </c>
      <c r="V35" s="179">
        <f t="shared" si="9"/>
        <v>1</v>
      </c>
      <c r="W35" s="179">
        <f t="shared" si="10"/>
        <v>1.6976</v>
      </c>
      <c r="X35" s="180">
        <f t="shared" si="11"/>
        <v>1.6976</v>
      </c>
      <c r="Y35" s="76">
        <v>437</v>
      </c>
      <c r="Z35" s="66">
        <v>437</v>
      </c>
      <c r="AA35" s="179">
        <f t="shared" si="33"/>
        <v>1</v>
      </c>
      <c r="AB35" s="179">
        <f t="shared" si="34"/>
        <v>1.0296889726672951</v>
      </c>
      <c r="AC35" s="180">
        <f t="shared" si="31"/>
        <v>1.0296889726672951</v>
      </c>
    </row>
    <row r="36" spans="1:29" s="4" customFormat="1" ht="15" customHeight="1" x14ac:dyDescent="0.2">
      <c r="A36" s="239" t="s">
        <v>35</v>
      </c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39"/>
      <c r="AA36" s="239"/>
      <c r="AB36" s="239"/>
      <c r="AC36" s="239"/>
    </row>
    <row r="37" spans="1:29" s="11" customFormat="1" ht="24" customHeight="1" x14ac:dyDescent="0.2">
      <c r="A37" s="77" t="s">
        <v>56</v>
      </c>
      <c r="B37" s="78">
        <v>117959.7</v>
      </c>
      <c r="C37" s="79">
        <v>113656.7</v>
      </c>
      <c r="D37" s="37">
        <f>C37/B37</f>
        <v>0.96352143994940642</v>
      </c>
      <c r="E37" s="80">
        <v>138399.5</v>
      </c>
      <c r="F37" s="81">
        <v>135813.79999999999</v>
      </c>
      <c r="G37" s="38">
        <f>F37/E37</f>
        <v>0.98131712903587076</v>
      </c>
      <c r="H37" s="38">
        <f t="shared" ref="H37:I39" si="35">E37/B37</f>
        <v>1.1732778228496681</v>
      </c>
      <c r="I37" s="39">
        <f t="shared" si="35"/>
        <v>1.1949475921789037</v>
      </c>
      <c r="J37" s="82">
        <f>J38+J40</f>
        <v>119909.4</v>
      </c>
      <c r="K37" s="81">
        <f>K38+K40</f>
        <v>117234.8</v>
      </c>
      <c r="L37" s="38">
        <f>K37/J37</f>
        <v>0.97769482626049342</v>
      </c>
      <c r="M37" s="38">
        <f t="shared" ref="M37:N39" si="36">J37/E37</f>
        <v>0.86640052890364483</v>
      </c>
      <c r="N37" s="39">
        <f t="shared" si="36"/>
        <v>0.86320241389313912</v>
      </c>
      <c r="O37" s="82">
        <f>O38+O40</f>
        <v>145660.6</v>
      </c>
      <c r="P37" s="81">
        <f>P38+P40</f>
        <v>132131.80000000002</v>
      </c>
      <c r="Q37" s="219">
        <f>P37/O37</f>
        <v>0.90712107460768399</v>
      </c>
      <c r="R37" s="219">
        <f t="shared" ref="R37:R54" si="37">O37/J37</f>
        <v>1.2147554737159889</v>
      </c>
      <c r="S37" s="220">
        <f t="shared" ref="S37:S54" si="38">P37/K37</f>
        <v>1.1270697779157726</v>
      </c>
      <c r="T37" s="151">
        <f>T38+T40</f>
        <v>144843.69633000001</v>
      </c>
      <c r="U37" s="151">
        <f>U38+U40</f>
        <v>140522.38234000001</v>
      </c>
      <c r="V37" s="181">
        <f t="shared" ref="V37:V58" si="39">U37/T37</f>
        <v>0.97016567445120516</v>
      </c>
      <c r="W37" s="181">
        <f t="shared" ref="W37:W59" si="40">T37/O37</f>
        <v>0.99439173208129039</v>
      </c>
      <c r="X37" s="182">
        <f t="shared" ref="X37:X59" si="41">U37/P37</f>
        <v>1.0635016123295074</v>
      </c>
      <c r="Y37" s="151">
        <f>Y38+Y40</f>
        <v>144205.70000000001</v>
      </c>
      <c r="Z37" s="151">
        <f>Z38+Z40</f>
        <v>141849.60000000001</v>
      </c>
      <c r="AA37" s="181">
        <f t="shared" ref="AA37:AA46" si="42">Z37/Y37</f>
        <v>0.98366153349000762</v>
      </c>
      <c r="AB37" s="181">
        <f t="shared" ref="AB37:AB40" si="43">Y37/T37</f>
        <v>0.99559527721146779</v>
      </c>
      <c r="AC37" s="182">
        <f t="shared" ref="AC37:AC40" si="44">Z37/U37</f>
        <v>1.0094448844226731</v>
      </c>
    </row>
    <row r="38" spans="1:29" s="18" customFormat="1" ht="26" x14ac:dyDescent="0.2">
      <c r="A38" s="83" t="s">
        <v>45</v>
      </c>
      <c r="B38" s="84">
        <v>117959.7</v>
      </c>
      <c r="C38" s="85">
        <v>113656.7</v>
      </c>
      <c r="D38" s="31">
        <f>C38/B38</f>
        <v>0.96352143994940642</v>
      </c>
      <c r="E38" s="86">
        <v>138399.5</v>
      </c>
      <c r="F38" s="87">
        <v>135813.79999999999</v>
      </c>
      <c r="G38" s="32">
        <f>F38/E38</f>
        <v>0.98131712903587076</v>
      </c>
      <c r="H38" s="32">
        <f t="shared" si="35"/>
        <v>1.1732778228496681</v>
      </c>
      <c r="I38" s="33">
        <f t="shared" si="35"/>
        <v>1.1949475921789037</v>
      </c>
      <c r="J38" s="72">
        <v>110872.4</v>
      </c>
      <c r="K38" s="68">
        <v>108616.8</v>
      </c>
      <c r="L38" s="32">
        <f>K38/J38</f>
        <v>0.9796558927199196</v>
      </c>
      <c r="M38" s="32">
        <f t="shared" si="36"/>
        <v>0.8011040502313953</v>
      </c>
      <c r="N38" s="33">
        <f t="shared" si="36"/>
        <v>0.79974789012604031</v>
      </c>
      <c r="O38" s="72">
        <v>134528.6</v>
      </c>
      <c r="P38" s="68">
        <v>121662.6</v>
      </c>
      <c r="Q38" s="186">
        <f>P38/O38</f>
        <v>0.90436234376928026</v>
      </c>
      <c r="R38" s="186">
        <f t="shared" si="37"/>
        <v>1.2133641916292965</v>
      </c>
      <c r="S38" s="221">
        <f t="shared" si="38"/>
        <v>1.1201084915040767</v>
      </c>
      <c r="T38" s="152">
        <v>135489.71248000002</v>
      </c>
      <c r="U38" s="152">
        <v>131825.68234</v>
      </c>
      <c r="V38" s="178">
        <f t="shared" si="39"/>
        <v>0.972957133992436</v>
      </c>
      <c r="W38" s="178">
        <f t="shared" si="40"/>
        <v>1.0071442985357761</v>
      </c>
      <c r="X38" s="183">
        <f t="shared" si="41"/>
        <v>1.0835349757443946</v>
      </c>
      <c r="Y38" s="152">
        <v>136071.6</v>
      </c>
      <c r="Z38" s="152">
        <v>134156.5</v>
      </c>
      <c r="AA38" s="178">
        <f t="shared" si="42"/>
        <v>0.98592579200950081</v>
      </c>
      <c r="AB38" s="178">
        <f t="shared" si="43"/>
        <v>1.0042946989062795</v>
      </c>
      <c r="AC38" s="183">
        <f t="shared" si="44"/>
        <v>1.0176810589456191</v>
      </c>
    </row>
    <row r="39" spans="1:29" s="16" customFormat="1" ht="40.5" customHeight="1" x14ac:dyDescent="0.2">
      <c r="A39" s="83" t="s">
        <v>55</v>
      </c>
      <c r="B39" s="84">
        <v>54199</v>
      </c>
      <c r="C39" s="85">
        <v>51669.1</v>
      </c>
      <c r="D39" s="31">
        <f>C39/B39</f>
        <v>0.95332201701138397</v>
      </c>
      <c r="E39" s="86">
        <v>76535.399999999994</v>
      </c>
      <c r="F39" s="87">
        <v>75188.100000000006</v>
      </c>
      <c r="G39" s="32">
        <f>F39/E39</f>
        <v>0.98239638128238715</v>
      </c>
      <c r="H39" s="32">
        <f t="shared" si="35"/>
        <v>1.4121183047657704</v>
      </c>
      <c r="I39" s="33">
        <f t="shared" si="35"/>
        <v>1.455185013867089</v>
      </c>
      <c r="J39" s="88">
        <v>46446.5</v>
      </c>
      <c r="K39" s="89">
        <v>45135.5</v>
      </c>
      <c r="L39" s="32">
        <f>K39/J39</f>
        <v>0.97177397651060893</v>
      </c>
      <c r="M39" s="32">
        <f t="shared" si="36"/>
        <v>0.60686296798605621</v>
      </c>
      <c r="N39" s="33">
        <f t="shared" si="36"/>
        <v>0.60030111147907705</v>
      </c>
      <c r="O39" s="88">
        <v>65305</v>
      </c>
      <c r="P39" s="89">
        <v>57187.6</v>
      </c>
      <c r="Q39" s="186">
        <f>P39/O39</f>
        <v>0.87570017609677664</v>
      </c>
      <c r="R39" s="186">
        <f t="shared" si="37"/>
        <v>1.4060262883102064</v>
      </c>
      <c r="S39" s="221">
        <f t="shared" si="38"/>
        <v>1.2670204163020238</v>
      </c>
      <c r="T39" s="152">
        <v>65659.628379999995</v>
      </c>
      <c r="U39" s="152">
        <v>61961.82877</v>
      </c>
      <c r="V39" s="178">
        <f t="shared" si="39"/>
        <v>0.9436822945661637</v>
      </c>
      <c r="W39" s="178">
        <f t="shared" si="40"/>
        <v>1.0054303404027256</v>
      </c>
      <c r="X39" s="183">
        <f t="shared" si="41"/>
        <v>1.0834836357881779</v>
      </c>
      <c r="Y39" s="152">
        <v>71037.7</v>
      </c>
      <c r="Z39" s="152">
        <v>69935.5</v>
      </c>
      <c r="AA39" s="178">
        <f t="shared" si="42"/>
        <v>0.98448429495887402</v>
      </c>
      <c r="AB39" s="178">
        <f t="shared" si="43"/>
        <v>1.0819083469201931</v>
      </c>
      <c r="AC39" s="183">
        <f t="shared" si="44"/>
        <v>1.1286868284601148</v>
      </c>
    </row>
    <row r="40" spans="1:29" s="18" customFormat="1" ht="26" x14ac:dyDescent="0.2">
      <c r="A40" s="83" t="s">
        <v>46</v>
      </c>
      <c r="B40" s="90"/>
      <c r="C40" s="71"/>
      <c r="D40" s="31">
        <v>0</v>
      </c>
      <c r="E40" s="67"/>
      <c r="F40" s="68"/>
      <c r="G40" s="32">
        <v>0</v>
      </c>
      <c r="H40" s="32">
        <v>0</v>
      </c>
      <c r="I40" s="33">
        <v>0</v>
      </c>
      <c r="J40" s="72">
        <v>9037</v>
      </c>
      <c r="K40" s="68">
        <v>8618</v>
      </c>
      <c r="L40" s="32">
        <f>K40/J40</f>
        <v>0.95363505588137654</v>
      </c>
      <c r="M40" s="32">
        <v>0</v>
      </c>
      <c r="N40" s="33">
        <v>0</v>
      </c>
      <c r="O40" s="72">
        <v>11132</v>
      </c>
      <c r="P40" s="68">
        <v>10469.200000000001</v>
      </c>
      <c r="Q40" s="186">
        <f>P40/O40</f>
        <v>0.94045993532159544</v>
      </c>
      <c r="R40" s="186">
        <f t="shared" si="37"/>
        <v>1.2318247205931172</v>
      </c>
      <c r="S40" s="221">
        <f t="shared" si="38"/>
        <v>1.2148062195404967</v>
      </c>
      <c r="T40" s="153">
        <v>9353.9838500000005</v>
      </c>
      <c r="U40" s="153">
        <v>8696.7000000000007</v>
      </c>
      <c r="V40" s="178">
        <f t="shared" si="39"/>
        <v>0.92973220175059423</v>
      </c>
      <c r="W40" s="178">
        <f t="shared" si="40"/>
        <v>0.8402788223140496</v>
      </c>
      <c r="X40" s="183">
        <f t="shared" si="41"/>
        <v>0.83069384480189512</v>
      </c>
      <c r="Y40" s="153">
        <v>8134.1</v>
      </c>
      <c r="Z40" s="153">
        <v>7693.1</v>
      </c>
      <c r="AA40" s="178">
        <f t="shared" si="42"/>
        <v>0.9457837990681206</v>
      </c>
      <c r="AB40" s="178">
        <f t="shared" si="43"/>
        <v>0.86958670556182327</v>
      </c>
      <c r="AC40" s="183">
        <f t="shared" si="44"/>
        <v>0.88459990571136171</v>
      </c>
    </row>
    <row r="41" spans="1:29" s="11" customFormat="1" ht="13" x14ac:dyDescent="0.2">
      <c r="A41" s="59" t="s">
        <v>39</v>
      </c>
      <c r="B41" s="91"/>
      <c r="C41" s="92"/>
      <c r="D41" s="31" t="e">
        <f>C41/B41</f>
        <v>#DIV/0!</v>
      </c>
      <c r="E41" s="93"/>
      <c r="F41" s="94"/>
      <c r="G41" s="133">
        <v>0</v>
      </c>
      <c r="H41" s="133">
        <v>0</v>
      </c>
      <c r="I41" s="26">
        <v>0</v>
      </c>
      <c r="J41" s="97"/>
      <c r="K41" s="94"/>
      <c r="L41" s="133">
        <v>0</v>
      </c>
      <c r="M41" s="133">
        <v>0</v>
      </c>
      <c r="N41" s="26">
        <v>0</v>
      </c>
      <c r="O41" s="97"/>
      <c r="P41" s="94"/>
      <c r="Q41" s="202">
        <v>0</v>
      </c>
      <c r="R41" s="186">
        <v>0</v>
      </c>
      <c r="S41" s="221">
        <v>0</v>
      </c>
      <c r="T41" s="154">
        <v>1408.7</v>
      </c>
      <c r="U41" s="154">
        <v>1408.7</v>
      </c>
      <c r="V41" s="178">
        <f t="shared" si="39"/>
        <v>1</v>
      </c>
      <c r="W41" s="178">
        <v>0</v>
      </c>
      <c r="X41" s="183">
        <v>0</v>
      </c>
      <c r="Y41" s="154">
        <v>1449.5</v>
      </c>
      <c r="Z41" s="154">
        <v>1449.5</v>
      </c>
      <c r="AA41" s="178">
        <f t="shared" si="42"/>
        <v>1</v>
      </c>
      <c r="AB41" s="178">
        <v>0</v>
      </c>
      <c r="AC41" s="183">
        <v>0</v>
      </c>
    </row>
    <row r="42" spans="1:29" s="4" customFormat="1" ht="39" x14ac:dyDescent="0.2">
      <c r="A42" s="59" t="s">
        <v>21</v>
      </c>
      <c r="B42" s="95">
        <v>4237</v>
      </c>
      <c r="C42" s="96">
        <v>4220.3999999999996</v>
      </c>
      <c r="D42" s="130">
        <f>C42/B42</f>
        <v>0.99608213358508368</v>
      </c>
      <c r="E42" s="93">
        <v>4566.8999999999996</v>
      </c>
      <c r="F42" s="94">
        <v>4465</v>
      </c>
      <c r="G42" s="133">
        <f>F42/E42</f>
        <v>0.97768727145328349</v>
      </c>
      <c r="H42" s="133">
        <f>E42/B42</f>
        <v>1.0778616945952324</v>
      </c>
      <c r="I42" s="26">
        <f>F42/C42</f>
        <v>1.0579565917922473</v>
      </c>
      <c r="J42" s="97">
        <f>J43+J44+J45+J46+J47</f>
        <v>7380.9</v>
      </c>
      <c r="K42" s="94">
        <f>K43+K44+K45+K46+K47</f>
        <v>7105</v>
      </c>
      <c r="L42" s="133">
        <f t="shared" ref="L42:L54" si="45">K42/J42</f>
        <v>0.96261973472069806</v>
      </c>
      <c r="M42" s="133">
        <f>J42/E42</f>
        <v>1.6161728962753728</v>
      </c>
      <c r="N42" s="26">
        <f>K42/F42</f>
        <v>1.5912653975363942</v>
      </c>
      <c r="O42" s="97">
        <f>O43+O44+O45+O46+O47</f>
        <v>8418.4</v>
      </c>
      <c r="P42" s="94">
        <f>P43+P44+P45+P46+P47</f>
        <v>6636.8</v>
      </c>
      <c r="Q42" s="202">
        <f t="shared" ref="Q42:Q55" si="46">P42/O42</f>
        <v>0.78836833602584822</v>
      </c>
      <c r="R42" s="202">
        <f t="shared" si="37"/>
        <v>1.1405655136907424</v>
      </c>
      <c r="S42" s="201">
        <f t="shared" si="38"/>
        <v>0.93410274454609432</v>
      </c>
      <c r="T42" s="154">
        <f>SUM(T43:T46)</f>
        <v>8193.49</v>
      </c>
      <c r="U42" s="154">
        <f>SUM(U43:U46)</f>
        <v>7592.2875299999996</v>
      </c>
      <c r="V42" s="178">
        <f t="shared" si="39"/>
        <v>0.92662437252013485</v>
      </c>
      <c r="W42" s="178">
        <f t="shared" si="40"/>
        <v>0.97328352180936994</v>
      </c>
      <c r="X42" s="183">
        <f t="shared" si="41"/>
        <v>1.143968106617647</v>
      </c>
      <c r="Y42" s="154">
        <f>SUM(Y43:Y46)</f>
        <v>8040.5</v>
      </c>
      <c r="Z42" s="154">
        <f>SUM(Z43:Z46)</f>
        <v>7966.5</v>
      </c>
      <c r="AA42" s="178">
        <f t="shared" si="42"/>
        <v>0.99079659225172567</v>
      </c>
      <c r="AB42" s="178">
        <f t="shared" ref="AA42:AB46" si="47">Y42/T42</f>
        <v>0.98132785906860209</v>
      </c>
      <c r="AC42" s="183">
        <f t="shared" ref="AC42:AC46" si="48">Z42/U42</f>
        <v>1.049288500800496</v>
      </c>
    </row>
    <row r="43" spans="1:29" s="17" customFormat="1" ht="26" x14ac:dyDescent="0.2">
      <c r="A43" s="83" t="s">
        <v>45</v>
      </c>
      <c r="B43" s="84">
        <v>4237</v>
      </c>
      <c r="C43" s="85">
        <v>4220.3999999999996</v>
      </c>
      <c r="D43" s="31">
        <f t="shared" ref="D43:D84" si="49">C43/B43</f>
        <v>0.99608213358508368</v>
      </c>
      <c r="E43" s="86">
        <v>4566.8999999999996</v>
      </c>
      <c r="F43" s="87">
        <v>4465</v>
      </c>
      <c r="G43" s="32">
        <f>F43/E43</f>
        <v>0.97768727145328349</v>
      </c>
      <c r="H43" s="32">
        <f>E43/B43</f>
        <v>1.0778616945952324</v>
      </c>
      <c r="I43" s="33">
        <f>F43/C43</f>
        <v>1.0579565917922473</v>
      </c>
      <c r="J43" s="98">
        <v>5800.9</v>
      </c>
      <c r="K43" s="87">
        <v>5661.7</v>
      </c>
      <c r="L43" s="32">
        <f t="shared" si="45"/>
        <v>0.9760037235601372</v>
      </c>
      <c r="M43" s="32">
        <f>J43/E43</f>
        <v>1.270205171998511</v>
      </c>
      <c r="N43" s="33">
        <f>K43/F43</f>
        <v>1.2680179171332586</v>
      </c>
      <c r="O43" s="98">
        <v>7028.7</v>
      </c>
      <c r="P43" s="87">
        <v>5250.3</v>
      </c>
      <c r="Q43" s="186">
        <f t="shared" si="46"/>
        <v>0.74698023816637504</v>
      </c>
      <c r="R43" s="186">
        <f t="shared" si="37"/>
        <v>1.2116568118740196</v>
      </c>
      <c r="S43" s="221">
        <f t="shared" si="38"/>
        <v>0.92733631241499914</v>
      </c>
      <c r="T43" s="153">
        <v>6939.27</v>
      </c>
      <c r="U43" s="153">
        <v>6338.0875299999998</v>
      </c>
      <c r="V43" s="178">
        <f t="shared" si="39"/>
        <v>0.91336517097619774</v>
      </c>
      <c r="W43" s="178">
        <f t="shared" si="40"/>
        <v>0.9872764522600197</v>
      </c>
      <c r="X43" s="183">
        <f t="shared" si="41"/>
        <v>1.2071857855741577</v>
      </c>
      <c r="Y43" s="153">
        <v>6517.9</v>
      </c>
      <c r="Z43" s="153">
        <v>6490.4</v>
      </c>
      <c r="AA43" s="178">
        <f t="shared" si="42"/>
        <v>0.99578084966016667</v>
      </c>
      <c r="AB43" s="178">
        <f t="shared" si="47"/>
        <v>0.93927747443174847</v>
      </c>
      <c r="AC43" s="183">
        <f t="shared" si="48"/>
        <v>1.0240312979710458</v>
      </c>
    </row>
    <row r="44" spans="1:29" s="17" customFormat="1" ht="26" x14ac:dyDescent="0.2">
      <c r="A44" s="83" t="s">
        <v>46</v>
      </c>
      <c r="B44" s="90"/>
      <c r="C44" s="71"/>
      <c r="D44" s="31">
        <v>0</v>
      </c>
      <c r="E44" s="67"/>
      <c r="F44" s="68"/>
      <c r="G44" s="32">
        <v>0</v>
      </c>
      <c r="H44" s="32">
        <v>0</v>
      </c>
      <c r="I44" s="33">
        <v>0</v>
      </c>
      <c r="J44" s="72">
        <v>850</v>
      </c>
      <c r="K44" s="68">
        <v>788.5</v>
      </c>
      <c r="L44" s="32">
        <f t="shared" si="45"/>
        <v>0.92764705882352938</v>
      </c>
      <c r="M44" s="32">
        <v>0</v>
      </c>
      <c r="N44" s="33">
        <v>0</v>
      </c>
      <c r="O44" s="72">
        <v>749.7</v>
      </c>
      <c r="P44" s="68">
        <v>746.5</v>
      </c>
      <c r="Q44" s="186">
        <f t="shared" si="46"/>
        <v>0.99573162598372678</v>
      </c>
      <c r="R44" s="186">
        <f t="shared" si="37"/>
        <v>0.88200000000000001</v>
      </c>
      <c r="S44" s="221">
        <f t="shared" si="38"/>
        <v>0.94673430564362715</v>
      </c>
      <c r="T44" s="153">
        <v>702.5</v>
      </c>
      <c r="U44" s="153">
        <v>702.5</v>
      </c>
      <c r="V44" s="178">
        <f t="shared" si="39"/>
        <v>1</v>
      </c>
      <c r="W44" s="178">
        <f t="shared" si="40"/>
        <v>0.93704148325997061</v>
      </c>
      <c r="X44" s="183">
        <f t="shared" si="41"/>
        <v>0.94105827193569991</v>
      </c>
      <c r="Y44" s="153">
        <f>842.5+243.1</f>
        <v>1085.5999999999999</v>
      </c>
      <c r="Z44" s="153">
        <f>796+243.1</f>
        <v>1039.0999999999999</v>
      </c>
      <c r="AA44" s="178">
        <f t="shared" si="42"/>
        <v>0.95716654384672073</v>
      </c>
      <c r="AB44" s="178">
        <f t="shared" si="47"/>
        <v>1.5453380782918149</v>
      </c>
      <c r="AC44" s="183">
        <f t="shared" si="48"/>
        <v>1.4791459074733095</v>
      </c>
    </row>
    <row r="45" spans="1:29" s="17" customFormat="1" ht="26" x14ac:dyDescent="0.2">
      <c r="A45" s="83" t="s">
        <v>48</v>
      </c>
      <c r="B45" s="90"/>
      <c r="C45" s="71"/>
      <c r="D45" s="31">
        <v>0</v>
      </c>
      <c r="E45" s="67"/>
      <c r="F45" s="68"/>
      <c r="G45" s="32">
        <v>0</v>
      </c>
      <c r="H45" s="32">
        <v>0</v>
      </c>
      <c r="I45" s="33">
        <v>0</v>
      </c>
      <c r="J45" s="72">
        <v>80</v>
      </c>
      <c r="K45" s="68">
        <v>80</v>
      </c>
      <c r="L45" s="32">
        <f t="shared" si="45"/>
        <v>1</v>
      </c>
      <c r="M45" s="32">
        <v>0</v>
      </c>
      <c r="N45" s="33">
        <v>0</v>
      </c>
      <c r="O45" s="72">
        <v>90</v>
      </c>
      <c r="P45" s="68">
        <v>90</v>
      </c>
      <c r="Q45" s="186">
        <f t="shared" si="46"/>
        <v>1</v>
      </c>
      <c r="R45" s="186">
        <f t="shared" si="37"/>
        <v>1.125</v>
      </c>
      <c r="S45" s="221">
        <f t="shared" si="38"/>
        <v>1.125</v>
      </c>
      <c r="T45" s="153">
        <v>127.32</v>
      </c>
      <c r="U45" s="153">
        <v>127.3</v>
      </c>
      <c r="V45" s="178">
        <f t="shared" si="39"/>
        <v>0.99984291548853288</v>
      </c>
      <c r="W45" s="178">
        <f t="shared" si="40"/>
        <v>1.4146666666666665</v>
      </c>
      <c r="X45" s="183">
        <f t="shared" si="41"/>
        <v>1.4144444444444444</v>
      </c>
      <c r="Y45" s="153">
        <v>0</v>
      </c>
      <c r="Z45" s="153">
        <v>0</v>
      </c>
      <c r="AA45" s="178">
        <v>0</v>
      </c>
      <c r="AB45" s="178">
        <f t="shared" si="47"/>
        <v>0</v>
      </c>
      <c r="AC45" s="183">
        <f t="shared" si="48"/>
        <v>0</v>
      </c>
    </row>
    <row r="46" spans="1:29" s="17" customFormat="1" ht="26" x14ac:dyDescent="0.2">
      <c r="A46" s="83" t="s">
        <v>57</v>
      </c>
      <c r="B46" s="90"/>
      <c r="C46" s="71"/>
      <c r="D46" s="31">
        <v>0</v>
      </c>
      <c r="E46" s="67"/>
      <c r="F46" s="68"/>
      <c r="G46" s="32">
        <v>0</v>
      </c>
      <c r="H46" s="32">
        <v>0</v>
      </c>
      <c r="I46" s="33">
        <v>0</v>
      </c>
      <c r="J46" s="72">
        <v>250</v>
      </c>
      <c r="K46" s="68">
        <v>235.7</v>
      </c>
      <c r="L46" s="32">
        <f t="shared" si="45"/>
        <v>0.94279999999999997</v>
      </c>
      <c r="M46" s="32">
        <v>0</v>
      </c>
      <c r="N46" s="33">
        <v>0</v>
      </c>
      <c r="O46" s="72">
        <v>250</v>
      </c>
      <c r="P46" s="68">
        <v>250</v>
      </c>
      <c r="Q46" s="186">
        <f t="shared" si="46"/>
        <v>1</v>
      </c>
      <c r="R46" s="186">
        <f t="shared" si="37"/>
        <v>1</v>
      </c>
      <c r="S46" s="221">
        <f t="shared" si="38"/>
        <v>1.0606703436571914</v>
      </c>
      <c r="T46" s="153">
        <v>424.4</v>
      </c>
      <c r="U46" s="153">
        <v>424.4</v>
      </c>
      <c r="V46" s="178">
        <f t="shared" si="39"/>
        <v>1</v>
      </c>
      <c r="W46" s="178">
        <f t="shared" si="40"/>
        <v>1.6976</v>
      </c>
      <c r="X46" s="183">
        <f t="shared" si="41"/>
        <v>1.6976</v>
      </c>
      <c r="Y46" s="153">
        <v>437</v>
      </c>
      <c r="Z46" s="153">
        <v>437</v>
      </c>
      <c r="AA46" s="178">
        <f t="shared" si="42"/>
        <v>1</v>
      </c>
      <c r="AB46" s="178">
        <f t="shared" si="47"/>
        <v>1.0296889726672951</v>
      </c>
      <c r="AC46" s="183">
        <f t="shared" si="48"/>
        <v>1.0296889726672951</v>
      </c>
    </row>
    <row r="47" spans="1:29" s="17" customFormat="1" ht="26" x14ac:dyDescent="0.2">
      <c r="A47" s="83" t="s">
        <v>58</v>
      </c>
      <c r="B47" s="90"/>
      <c r="C47" s="71"/>
      <c r="D47" s="31">
        <v>0</v>
      </c>
      <c r="E47" s="67"/>
      <c r="F47" s="68"/>
      <c r="G47" s="32">
        <v>0</v>
      </c>
      <c r="H47" s="32">
        <v>0</v>
      </c>
      <c r="I47" s="33">
        <v>0</v>
      </c>
      <c r="J47" s="72">
        <v>400</v>
      </c>
      <c r="K47" s="68">
        <v>339.1</v>
      </c>
      <c r="L47" s="32">
        <f t="shared" si="45"/>
        <v>0.84775</v>
      </c>
      <c r="M47" s="32">
        <v>0</v>
      </c>
      <c r="N47" s="33">
        <v>0</v>
      </c>
      <c r="O47" s="72">
        <v>300</v>
      </c>
      <c r="P47" s="68">
        <v>300</v>
      </c>
      <c r="Q47" s="186">
        <f t="shared" si="46"/>
        <v>1</v>
      </c>
      <c r="R47" s="186">
        <f t="shared" si="37"/>
        <v>0.75</v>
      </c>
      <c r="S47" s="221">
        <f t="shared" si="38"/>
        <v>0.88469478030079618</v>
      </c>
      <c r="T47" s="155">
        <v>0</v>
      </c>
      <c r="U47" s="155">
        <v>0</v>
      </c>
      <c r="V47" s="178">
        <v>0</v>
      </c>
      <c r="W47" s="178">
        <f t="shared" si="40"/>
        <v>0</v>
      </c>
      <c r="X47" s="183">
        <f t="shared" si="41"/>
        <v>0</v>
      </c>
      <c r="Y47" s="155">
        <v>0</v>
      </c>
      <c r="Z47" s="155">
        <v>0</v>
      </c>
      <c r="AA47" s="178">
        <v>0</v>
      </c>
      <c r="AB47" s="178">
        <v>0</v>
      </c>
      <c r="AC47" s="178">
        <v>0</v>
      </c>
    </row>
    <row r="48" spans="1:29" s="11" customFormat="1" ht="13" x14ac:dyDescent="0.2">
      <c r="A48" s="59" t="s">
        <v>22</v>
      </c>
      <c r="B48" s="95">
        <v>26706.299999999996</v>
      </c>
      <c r="C48" s="96">
        <v>26337.699999999997</v>
      </c>
      <c r="D48" s="130">
        <f t="shared" si="49"/>
        <v>0.98619801320287725</v>
      </c>
      <c r="E48" s="93">
        <v>30336.600000000002</v>
      </c>
      <c r="F48" s="94">
        <v>28668.999999999996</v>
      </c>
      <c r="G48" s="133">
        <f>F48/E48</f>
        <v>0.9450300956600276</v>
      </c>
      <c r="H48" s="133">
        <f>E48/B48</f>
        <v>1.1359342177688414</v>
      </c>
      <c r="I48" s="26">
        <f>F48/C48</f>
        <v>1.0885157018266591</v>
      </c>
      <c r="J48" s="97">
        <f>J49+J50+J51</f>
        <v>59280.6</v>
      </c>
      <c r="K48" s="94">
        <f>K49+K50+K51</f>
        <v>28177.5</v>
      </c>
      <c r="L48" s="133">
        <f t="shared" si="45"/>
        <v>0.47532413639538063</v>
      </c>
      <c r="M48" s="133">
        <f>J48/E48</f>
        <v>1.9540950534997328</v>
      </c>
      <c r="N48" s="26">
        <f>K48/F48</f>
        <v>0.98285604660085824</v>
      </c>
      <c r="O48" s="97">
        <f>O49+O50+O51</f>
        <v>80257.5</v>
      </c>
      <c r="P48" s="94">
        <f>P49+P50+P51</f>
        <v>70348.7</v>
      </c>
      <c r="Q48" s="202">
        <f>P48/O48</f>
        <v>0.87653739525900998</v>
      </c>
      <c r="R48" s="202">
        <f>O48/J48</f>
        <v>1.3538577544761694</v>
      </c>
      <c r="S48" s="201">
        <f>P48/K48</f>
        <v>2.4966267411942153</v>
      </c>
      <c r="T48" s="154">
        <f>SUM(T49:T50)</f>
        <v>39977.528109999999</v>
      </c>
      <c r="U48" s="154">
        <f>SUM(U49:U50)</f>
        <v>38929.861250000002</v>
      </c>
      <c r="V48" s="178">
        <f t="shared" si="39"/>
        <v>0.97379360581981722</v>
      </c>
      <c r="W48" s="178">
        <f>T48/O48</f>
        <v>0.49811579117216459</v>
      </c>
      <c r="X48" s="183">
        <f>U48/P48</f>
        <v>0.55338423098081424</v>
      </c>
      <c r="Y48" s="154">
        <f>SUM(Y49:Y50)</f>
        <v>38255.200000000004</v>
      </c>
      <c r="Z48" s="154">
        <f>SUM(Z49:Z50)</f>
        <v>37440.800000000003</v>
      </c>
      <c r="AA48" s="178">
        <f t="shared" ref="AA48:AA50" si="50">Z48/Y48</f>
        <v>0.97871139086973791</v>
      </c>
      <c r="AB48" s="178">
        <f>Y48/T48</f>
        <v>0.95691759367260198</v>
      </c>
      <c r="AC48" s="183">
        <f>Z48/U48</f>
        <v>0.96175015265434582</v>
      </c>
    </row>
    <row r="49" spans="1:29" s="18" customFormat="1" ht="26" x14ac:dyDescent="0.2">
      <c r="A49" s="83" t="s">
        <v>45</v>
      </c>
      <c r="B49" s="84">
        <v>26706.299999999996</v>
      </c>
      <c r="C49" s="85">
        <v>26337.699999999997</v>
      </c>
      <c r="D49" s="31">
        <f t="shared" si="49"/>
        <v>0.98619801320287725</v>
      </c>
      <c r="E49" s="86">
        <v>30336.600000000002</v>
      </c>
      <c r="F49" s="87">
        <v>28668.999999999996</v>
      </c>
      <c r="G49" s="32">
        <f>F49/E49</f>
        <v>0.9450300956600276</v>
      </c>
      <c r="H49" s="32">
        <f>E49/B49</f>
        <v>1.1359342177688414</v>
      </c>
      <c r="I49" s="33">
        <f>F49/C49</f>
        <v>1.0885157018266591</v>
      </c>
      <c r="J49" s="98">
        <v>41956.4</v>
      </c>
      <c r="K49" s="87">
        <v>13534.3</v>
      </c>
      <c r="L49" s="32">
        <f t="shared" si="45"/>
        <v>0.32258010696818601</v>
      </c>
      <c r="M49" s="32">
        <f>J49/E49</f>
        <v>1.3830290803847498</v>
      </c>
      <c r="N49" s="33">
        <f>K49/F49</f>
        <v>0.472088318392689</v>
      </c>
      <c r="O49" s="98">
        <v>28909.3</v>
      </c>
      <c r="P49" s="87">
        <v>27136.2</v>
      </c>
      <c r="Q49" s="186">
        <f t="shared" si="46"/>
        <v>0.93866679580619394</v>
      </c>
      <c r="R49" s="186">
        <f t="shared" si="37"/>
        <v>0.68903194745021012</v>
      </c>
      <c r="S49" s="221">
        <f t="shared" si="38"/>
        <v>2.0049947171261167</v>
      </c>
      <c r="T49" s="153">
        <v>26969.61104</v>
      </c>
      <c r="U49" s="152">
        <v>26183.161250000001</v>
      </c>
      <c r="V49" s="178">
        <f t="shared" si="39"/>
        <v>0.97083940925831025</v>
      </c>
      <c r="W49" s="178">
        <f t="shared" si="40"/>
        <v>0.93290432628946396</v>
      </c>
      <c r="X49" s="183">
        <f t="shared" si="41"/>
        <v>0.96487943227128337</v>
      </c>
      <c r="Y49" s="153">
        <f>2719.2+13635.5+1869.4+8054.5+182.4</f>
        <v>26461.000000000004</v>
      </c>
      <c r="Z49" s="152">
        <f>2036.1+13560.5+1869.4+8020.1+182.4</f>
        <v>25668.5</v>
      </c>
      <c r="AA49" s="178">
        <f t="shared" si="50"/>
        <v>0.97005026265069338</v>
      </c>
      <c r="AB49" s="178">
        <f t="shared" ref="AB49:AB60" si="51">Y49/T49</f>
        <v>0.98114132831779999</v>
      </c>
      <c r="AC49" s="183">
        <f t="shared" ref="AC49:AC56" si="52">Z49/U49</f>
        <v>0.98034380779746366</v>
      </c>
    </row>
    <row r="50" spans="1:29" s="18" customFormat="1" ht="26" x14ac:dyDescent="0.2">
      <c r="A50" s="83" t="s">
        <v>46</v>
      </c>
      <c r="B50" s="90"/>
      <c r="C50" s="71"/>
      <c r="D50" s="31">
        <v>0</v>
      </c>
      <c r="E50" s="67"/>
      <c r="F50" s="68"/>
      <c r="G50" s="32">
        <v>0</v>
      </c>
      <c r="H50" s="32">
        <v>0</v>
      </c>
      <c r="I50" s="33">
        <v>0</v>
      </c>
      <c r="J50" s="72">
        <v>12224.3</v>
      </c>
      <c r="K50" s="68">
        <v>10075.299999999999</v>
      </c>
      <c r="L50" s="32">
        <f t="shared" si="45"/>
        <v>0.82420261282854645</v>
      </c>
      <c r="M50" s="32">
        <v>0</v>
      </c>
      <c r="N50" s="33">
        <v>0</v>
      </c>
      <c r="O50" s="72">
        <v>49054.3</v>
      </c>
      <c r="P50" s="68">
        <v>41394.6</v>
      </c>
      <c r="Q50" s="186">
        <f t="shared" si="46"/>
        <v>0.84385262861767463</v>
      </c>
      <c r="R50" s="186">
        <f t="shared" si="37"/>
        <v>4.0128514516168616</v>
      </c>
      <c r="S50" s="221">
        <f t="shared" si="38"/>
        <v>4.108522823141743</v>
      </c>
      <c r="T50" s="153">
        <v>13007.91707</v>
      </c>
      <c r="U50" s="153">
        <v>12746.7</v>
      </c>
      <c r="V50" s="178">
        <f t="shared" si="39"/>
        <v>0.97991860890607607</v>
      </c>
      <c r="W50" s="178">
        <f t="shared" si="40"/>
        <v>0.26517383939838096</v>
      </c>
      <c r="X50" s="183">
        <f t="shared" si="41"/>
        <v>0.30793146932208554</v>
      </c>
      <c r="Y50" s="153">
        <f>10820.3+973.9</f>
        <v>11794.199999999999</v>
      </c>
      <c r="Z50" s="153">
        <f>10804.2+968.1</f>
        <v>11772.300000000001</v>
      </c>
      <c r="AA50" s="178">
        <f t="shared" si="50"/>
        <v>0.99814315511013907</v>
      </c>
      <c r="AB50" s="178">
        <f t="shared" si="51"/>
        <v>0.90669397233480353</v>
      </c>
      <c r="AC50" s="183">
        <f t="shared" si="52"/>
        <v>0.92355668525971435</v>
      </c>
    </row>
    <row r="51" spans="1:29" s="18" customFormat="1" ht="26" x14ac:dyDescent="0.2">
      <c r="A51" s="83" t="s">
        <v>48</v>
      </c>
      <c r="B51" s="90"/>
      <c r="C51" s="71"/>
      <c r="D51" s="31">
        <v>0</v>
      </c>
      <c r="E51" s="67"/>
      <c r="F51" s="68"/>
      <c r="G51" s="32">
        <v>0</v>
      </c>
      <c r="H51" s="32">
        <v>0</v>
      </c>
      <c r="I51" s="33">
        <v>0</v>
      </c>
      <c r="J51" s="72">
        <v>5099.8999999999996</v>
      </c>
      <c r="K51" s="68">
        <v>4567.8999999999996</v>
      </c>
      <c r="L51" s="32">
        <f t="shared" si="45"/>
        <v>0.89568422910253143</v>
      </c>
      <c r="M51" s="32">
        <v>0</v>
      </c>
      <c r="N51" s="33">
        <v>0</v>
      </c>
      <c r="O51" s="72">
        <v>2293.9</v>
      </c>
      <c r="P51" s="68">
        <v>1817.9</v>
      </c>
      <c r="Q51" s="186">
        <f t="shared" si="46"/>
        <v>0.79249313396399146</v>
      </c>
      <c r="R51" s="186">
        <f t="shared" si="37"/>
        <v>0.44979313319869024</v>
      </c>
      <c r="S51" s="221">
        <f t="shared" si="38"/>
        <v>0.39797281026292175</v>
      </c>
      <c r="T51" s="156">
        <v>0</v>
      </c>
      <c r="U51" s="156">
        <v>0</v>
      </c>
      <c r="V51" s="178">
        <v>0</v>
      </c>
      <c r="W51" s="178">
        <f t="shared" si="40"/>
        <v>0</v>
      </c>
      <c r="X51" s="183">
        <f t="shared" si="41"/>
        <v>0</v>
      </c>
      <c r="Y51" s="156">
        <v>0</v>
      </c>
      <c r="Z51" s="156">
        <v>0</v>
      </c>
      <c r="AA51" s="178">
        <v>0</v>
      </c>
      <c r="AB51" s="178">
        <v>0</v>
      </c>
      <c r="AC51" s="178">
        <v>0</v>
      </c>
    </row>
    <row r="52" spans="1:29" s="11" customFormat="1" ht="13" x14ac:dyDescent="0.2">
      <c r="A52" s="59" t="s">
        <v>23</v>
      </c>
      <c r="B52" s="91"/>
      <c r="C52" s="92"/>
      <c r="D52" s="130">
        <v>0</v>
      </c>
      <c r="E52" s="99"/>
      <c r="F52" s="92"/>
      <c r="G52" s="133">
        <v>0</v>
      </c>
      <c r="H52" s="133">
        <v>0</v>
      </c>
      <c r="I52" s="26">
        <v>0</v>
      </c>
      <c r="J52" s="91">
        <f>J53+J54</f>
        <v>197556.9</v>
      </c>
      <c r="K52" s="91">
        <f>K53+K54</f>
        <v>102527.90000000001</v>
      </c>
      <c r="L52" s="133">
        <f t="shared" si="45"/>
        <v>0.51897908906244228</v>
      </c>
      <c r="M52" s="133">
        <v>0</v>
      </c>
      <c r="N52" s="26">
        <v>0</v>
      </c>
      <c r="O52" s="91">
        <f>O53+O54</f>
        <v>137206.79999999999</v>
      </c>
      <c r="P52" s="91">
        <f>P53+P54</f>
        <v>122292.2</v>
      </c>
      <c r="Q52" s="202">
        <f t="shared" si="46"/>
        <v>0.89129839045878201</v>
      </c>
      <c r="R52" s="202">
        <f t="shared" si="37"/>
        <v>0.69451788320225716</v>
      </c>
      <c r="S52" s="201">
        <f t="shared" si="38"/>
        <v>1.1927699679794475</v>
      </c>
      <c r="T52" s="157">
        <v>60506.596669999999</v>
      </c>
      <c r="U52" s="157">
        <v>56379.58526</v>
      </c>
      <c r="V52" s="178">
        <f t="shared" si="39"/>
        <v>0.93179237244975921</v>
      </c>
      <c r="W52" s="178">
        <f t="shared" si="40"/>
        <v>0.44098832324636972</v>
      </c>
      <c r="X52" s="183">
        <f t="shared" si="41"/>
        <v>0.46102355882059526</v>
      </c>
      <c r="Y52" s="157">
        <v>40859.800000000003</v>
      </c>
      <c r="Z52" s="157">
        <v>39582.699999999997</v>
      </c>
      <c r="AA52" s="178">
        <f t="shared" ref="AA52:AA58" si="53">Z52/Y52</f>
        <v>0.96874434040303659</v>
      </c>
      <c r="AB52" s="178">
        <f t="shared" si="51"/>
        <v>0.67529496366895891</v>
      </c>
      <c r="AC52" s="183">
        <f t="shared" si="52"/>
        <v>0.70207504750984751</v>
      </c>
    </row>
    <row r="53" spans="1:29" s="18" customFormat="1" ht="26" x14ac:dyDescent="0.2">
      <c r="A53" s="83" t="s">
        <v>46</v>
      </c>
      <c r="B53" s="90"/>
      <c r="C53" s="71"/>
      <c r="D53" s="31">
        <v>0</v>
      </c>
      <c r="E53" s="67"/>
      <c r="F53" s="68"/>
      <c r="G53" s="32">
        <v>0</v>
      </c>
      <c r="H53" s="32">
        <v>0</v>
      </c>
      <c r="I53" s="33">
        <v>0</v>
      </c>
      <c r="J53" s="72">
        <v>178291.5</v>
      </c>
      <c r="K53" s="68">
        <v>87391.6</v>
      </c>
      <c r="L53" s="32">
        <f t="shared" si="45"/>
        <v>0.49016133691174291</v>
      </c>
      <c r="M53" s="32">
        <v>0</v>
      </c>
      <c r="N53" s="33">
        <v>0</v>
      </c>
      <c r="O53" s="72">
        <v>118480</v>
      </c>
      <c r="P53" s="68">
        <v>108180.8</v>
      </c>
      <c r="Q53" s="186">
        <f t="shared" si="46"/>
        <v>0.9130722484807563</v>
      </c>
      <c r="R53" s="186">
        <f t="shared" si="37"/>
        <v>0.66452971678403061</v>
      </c>
      <c r="S53" s="221">
        <f t="shared" si="38"/>
        <v>1.2378855633722234</v>
      </c>
      <c r="T53" s="158">
        <v>25205.71573</v>
      </c>
      <c r="U53" s="158">
        <v>22688.2</v>
      </c>
      <c r="V53" s="178">
        <f t="shared" si="39"/>
        <v>0.90012123611298067</v>
      </c>
      <c r="W53" s="178">
        <f t="shared" si="40"/>
        <v>0.21274236774139096</v>
      </c>
      <c r="X53" s="183">
        <f t="shared" si="41"/>
        <v>0.20972483102361972</v>
      </c>
      <c r="Y53" s="158">
        <f>21907.7</f>
        <v>21907.7</v>
      </c>
      <c r="Z53" s="158">
        <f>21707.8</f>
        <v>21707.8</v>
      </c>
      <c r="AA53" s="178">
        <f t="shared" si="53"/>
        <v>0.99087535432747387</v>
      </c>
      <c r="AB53" s="178">
        <f t="shared" si="51"/>
        <v>0.86915603725250778</v>
      </c>
      <c r="AC53" s="183">
        <f t="shared" si="52"/>
        <v>0.9567881101189164</v>
      </c>
    </row>
    <row r="54" spans="1:29" s="18" customFormat="1" ht="26" hidden="1" x14ac:dyDescent="0.2">
      <c r="A54" s="83" t="s">
        <v>48</v>
      </c>
      <c r="B54" s="90"/>
      <c r="C54" s="71"/>
      <c r="D54" s="31">
        <v>0</v>
      </c>
      <c r="E54" s="67"/>
      <c r="F54" s="68"/>
      <c r="G54" s="32">
        <v>0</v>
      </c>
      <c r="H54" s="32">
        <v>0</v>
      </c>
      <c r="I54" s="33">
        <v>0</v>
      </c>
      <c r="J54" s="72">
        <v>19265.400000000001</v>
      </c>
      <c r="K54" s="68">
        <v>15136.3</v>
      </c>
      <c r="L54" s="32">
        <f t="shared" si="45"/>
        <v>0.78567276049290424</v>
      </c>
      <c r="M54" s="32">
        <v>0</v>
      </c>
      <c r="N54" s="33">
        <v>0</v>
      </c>
      <c r="O54" s="72">
        <v>18726.8</v>
      </c>
      <c r="P54" s="68">
        <v>14111.4</v>
      </c>
      <c r="Q54" s="186">
        <f t="shared" si="46"/>
        <v>0.7535403806309674</v>
      </c>
      <c r="R54" s="186">
        <f t="shared" si="37"/>
        <v>0.97204314470501507</v>
      </c>
      <c r="S54" s="186">
        <f t="shared" si="38"/>
        <v>0.93228860421635407</v>
      </c>
      <c r="T54" s="159"/>
      <c r="U54" s="156"/>
      <c r="V54" s="178" t="e">
        <f t="shared" si="39"/>
        <v>#DIV/0!</v>
      </c>
      <c r="W54" s="178">
        <f t="shared" si="40"/>
        <v>0</v>
      </c>
      <c r="X54" s="183">
        <f t="shared" si="41"/>
        <v>0</v>
      </c>
      <c r="Y54" s="159"/>
      <c r="Z54" s="156"/>
      <c r="AA54" s="178" t="e">
        <f t="shared" si="53"/>
        <v>#DIV/0!</v>
      </c>
      <c r="AB54" s="178" t="e">
        <f t="shared" si="51"/>
        <v>#DIV/0!</v>
      </c>
      <c r="AC54" s="183" t="e">
        <f t="shared" si="52"/>
        <v>#DIV/0!</v>
      </c>
    </row>
    <row r="55" spans="1:29" s="11" customFormat="1" ht="13" x14ac:dyDescent="0.2">
      <c r="A55" s="59" t="s">
        <v>30</v>
      </c>
      <c r="B55" s="100">
        <v>4100</v>
      </c>
      <c r="C55" s="61">
        <v>4100</v>
      </c>
      <c r="D55" s="130">
        <f t="shared" si="49"/>
        <v>1</v>
      </c>
      <c r="E55" s="93">
        <v>3955</v>
      </c>
      <c r="F55" s="96"/>
      <c r="G55" s="133">
        <f>F55/E55</f>
        <v>0</v>
      </c>
      <c r="H55" s="133">
        <f>E55/B55</f>
        <v>0.96463414634146338</v>
      </c>
      <c r="I55" s="26">
        <v>0</v>
      </c>
      <c r="J55" s="97"/>
      <c r="K55" s="92"/>
      <c r="L55" s="133">
        <v>0</v>
      </c>
      <c r="M55" s="133">
        <f>J55/E55</f>
        <v>0</v>
      </c>
      <c r="N55" s="26">
        <v>0</v>
      </c>
      <c r="O55" s="97">
        <f>O56+O57</f>
        <v>623.6</v>
      </c>
      <c r="P55" s="92">
        <f>P56+P57</f>
        <v>426.5</v>
      </c>
      <c r="Q55" s="202">
        <f t="shared" si="46"/>
        <v>0.68393200769724183</v>
      </c>
      <c r="R55" s="202">
        <v>0</v>
      </c>
      <c r="S55" s="201">
        <v>0</v>
      </c>
      <c r="T55" s="154">
        <v>426.13788</v>
      </c>
      <c r="U55" s="154">
        <v>426.13788</v>
      </c>
      <c r="V55" s="178">
        <f t="shared" si="39"/>
        <v>1</v>
      </c>
      <c r="W55" s="178">
        <f t="shared" si="40"/>
        <v>0.68335131494547785</v>
      </c>
      <c r="X55" s="183">
        <f t="shared" si="41"/>
        <v>0.99915094958968342</v>
      </c>
      <c r="Y55" s="154">
        <v>920.3</v>
      </c>
      <c r="Z55" s="154">
        <v>887.1</v>
      </c>
      <c r="AA55" s="178">
        <f t="shared" si="53"/>
        <v>0.96392480712811046</v>
      </c>
      <c r="AB55" s="178">
        <f t="shared" si="51"/>
        <v>2.1596296485071922</v>
      </c>
      <c r="AC55" s="183">
        <f t="shared" si="52"/>
        <v>2.081720592405444</v>
      </c>
    </row>
    <row r="56" spans="1:29" s="18" customFormat="1" ht="26" hidden="1" x14ac:dyDescent="0.2">
      <c r="A56" s="83" t="s">
        <v>45</v>
      </c>
      <c r="B56" s="84">
        <v>4100</v>
      </c>
      <c r="C56" s="85">
        <v>4100</v>
      </c>
      <c r="D56" s="31">
        <f t="shared" si="49"/>
        <v>1</v>
      </c>
      <c r="E56" s="86">
        <v>3955</v>
      </c>
      <c r="F56" s="87"/>
      <c r="G56" s="32">
        <f>F56/E56</f>
        <v>0</v>
      </c>
      <c r="H56" s="32">
        <f>E56/B56</f>
        <v>0.96463414634146338</v>
      </c>
      <c r="I56" s="33">
        <f>F56/C56</f>
        <v>0</v>
      </c>
      <c r="J56" s="98"/>
      <c r="K56" s="87"/>
      <c r="L56" s="32">
        <v>0</v>
      </c>
      <c r="M56" s="32">
        <f>J56/E56</f>
        <v>0</v>
      </c>
      <c r="N56" s="33">
        <v>0</v>
      </c>
      <c r="O56" s="98">
        <v>426.5</v>
      </c>
      <c r="P56" s="87">
        <v>426.5</v>
      </c>
      <c r="Q56" s="186">
        <f>P56/O56</f>
        <v>1</v>
      </c>
      <c r="R56" s="186">
        <v>0</v>
      </c>
      <c r="S56" s="186">
        <v>0</v>
      </c>
      <c r="T56" s="156"/>
      <c r="U56" s="156"/>
      <c r="V56" s="178" t="e">
        <f t="shared" si="39"/>
        <v>#DIV/0!</v>
      </c>
      <c r="W56" s="178">
        <f t="shared" si="40"/>
        <v>0</v>
      </c>
      <c r="X56" s="183">
        <f t="shared" si="41"/>
        <v>0</v>
      </c>
      <c r="Y56" s="156"/>
      <c r="Z56" s="156"/>
      <c r="AA56" s="178" t="e">
        <f t="shared" si="53"/>
        <v>#DIV/0!</v>
      </c>
      <c r="AB56" s="178" t="e">
        <f t="shared" si="51"/>
        <v>#DIV/0!</v>
      </c>
      <c r="AC56" s="183" t="e">
        <f t="shared" si="52"/>
        <v>#DIV/0!</v>
      </c>
    </row>
    <row r="57" spans="1:29" s="18" customFormat="1" ht="15.75" customHeight="1" x14ac:dyDescent="0.2">
      <c r="A57" s="83" t="s">
        <v>46</v>
      </c>
      <c r="B57" s="90"/>
      <c r="C57" s="71"/>
      <c r="D57" s="31">
        <v>0</v>
      </c>
      <c r="E57" s="67"/>
      <c r="F57" s="68"/>
      <c r="G57" s="32">
        <v>0</v>
      </c>
      <c r="H57" s="29">
        <v>0</v>
      </c>
      <c r="I57" s="30">
        <v>0</v>
      </c>
      <c r="J57" s="72"/>
      <c r="K57" s="68"/>
      <c r="L57" s="32">
        <v>0</v>
      </c>
      <c r="M57" s="32">
        <v>0</v>
      </c>
      <c r="N57" s="33">
        <v>0</v>
      </c>
      <c r="O57" s="72">
        <v>197.1</v>
      </c>
      <c r="P57" s="68"/>
      <c r="Q57" s="186">
        <f>P57/O57</f>
        <v>0</v>
      </c>
      <c r="R57" s="186">
        <v>0</v>
      </c>
      <c r="S57" s="221">
        <v>0</v>
      </c>
      <c r="T57" s="153">
        <v>426.13788</v>
      </c>
      <c r="U57" s="153">
        <v>426.1</v>
      </c>
      <c r="V57" s="178">
        <f t="shared" si="39"/>
        <v>0.99991110858297794</v>
      </c>
      <c r="W57" s="178">
        <f t="shared" si="40"/>
        <v>2.1620389649923899</v>
      </c>
      <c r="X57" s="183">
        <v>0</v>
      </c>
      <c r="Y57" s="153">
        <v>499</v>
      </c>
      <c r="Z57" s="153">
        <v>466.8</v>
      </c>
      <c r="AA57" s="178">
        <f t="shared" si="53"/>
        <v>0.93547094188376756</v>
      </c>
      <c r="AB57" s="178">
        <f t="shared" si="51"/>
        <v>1.1709824998425393</v>
      </c>
      <c r="AC57" s="183">
        <v>0</v>
      </c>
    </row>
    <row r="58" spans="1:29" s="11" customFormat="1" ht="13" x14ac:dyDescent="0.2">
      <c r="A58" s="59" t="s">
        <v>24</v>
      </c>
      <c r="B58" s="95">
        <v>603789.19999999995</v>
      </c>
      <c r="C58" s="96">
        <v>546920</v>
      </c>
      <c r="D58" s="130">
        <f t="shared" si="49"/>
        <v>0.90581282341585445</v>
      </c>
      <c r="E58" s="93">
        <v>666573.1</v>
      </c>
      <c r="F58" s="94">
        <v>661140.80000000005</v>
      </c>
      <c r="G58" s="133">
        <f>F58/E58</f>
        <v>0.99185040620451093</v>
      </c>
      <c r="H58" s="133">
        <f t="shared" ref="H58:I60" si="54">E58/B58</f>
        <v>1.1039831451109097</v>
      </c>
      <c r="I58" s="26">
        <f t="shared" si="54"/>
        <v>1.208843706575002</v>
      </c>
      <c r="J58" s="97">
        <v>852546.9</v>
      </c>
      <c r="K58" s="94">
        <v>813007.2</v>
      </c>
      <c r="L58" s="133">
        <f t="shared" ref="L58:L87" si="55">K58/J58</f>
        <v>0.95362167172269341</v>
      </c>
      <c r="M58" s="133">
        <f t="shared" ref="M58:N60" si="56">J58/E58</f>
        <v>1.2789998576300186</v>
      </c>
      <c r="N58" s="26">
        <f t="shared" si="56"/>
        <v>1.2297035669255323</v>
      </c>
      <c r="O58" s="97">
        <v>869835.2</v>
      </c>
      <c r="P58" s="94">
        <v>785590.9</v>
      </c>
      <c r="Q58" s="202">
        <f>P58/O58</f>
        <v>0.90314912525958946</v>
      </c>
      <c r="R58" s="202">
        <f t="shared" ref="R58:S60" si="57">O58/J58</f>
        <v>1.0202784151816162</v>
      </c>
      <c r="S58" s="201">
        <f t="shared" si="57"/>
        <v>0.96627791242193184</v>
      </c>
      <c r="T58" s="160">
        <v>824496.78110999998</v>
      </c>
      <c r="U58" s="160">
        <v>811266.15365999995</v>
      </c>
      <c r="V58" s="178">
        <f t="shared" si="39"/>
        <v>0.98395308780685842</v>
      </c>
      <c r="W58" s="178">
        <f t="shared" si="40"/>
        <v>0.94787700142509757</v>
      </c>
      <c r="X58" s="183">
        <f t="shared" si="41"/>
        <v>1.0326827279440227</v>
      </c>
      <c r="Y58" s="160">
        <v>924617.7</v>
      </c>
      <c r="Z58" s="160">
        <v>914790.2</v>
      </c>
      <c r="AA58" s="178">
        <f t="shared" si="53"/>
        <v>0.98937128285560616</v>
      </c>
      <c r="AB58" s="178">
        <f t="shared" si="51"/>
        <v>1.1214327589674875</v>
      </c>
      <c r="AC58" s="183">
        <f t="shared" ref="AC58:AC60" si="58">Z58/U58</f>
        <v>1.1276079938414227</v>
      </c>
    </row>
    <row r="59" spans="1:29" s="11" customFormat="1" ht="13" x14ac:dyDescent="0.2">
      <c r="A59" s="59" t="s">
        <v>52</v>
      </c>
      <c r="B59" s="95">
        <v>44175.6</v>
      </c>
      <c r="C59" s="96">
        <v>41430.400000000001</v>
      </c>
      <c r="D59" s="130">
        <f t="shared" si="49"/>
        <v>0.93785709758328129</v>
      </c>
      <c r="E59" s="93">
        <v>44048.4</v>
      </c>
      <c r="F59" s="94">
        <v>43486.2</v>
      </c>
      <c r="G59" s="133">
        <f>F59/E59</f>
        <v>0.98723676682921502</v>
      </c>
      <c r="H59" s="133">
        <f t="shared" si="54"/>
        <v>0.99712058240295554</v>
      </c>
      <c r="I59" s="26">
        <f t="shared" si="54"/>
        <v>1.0496205684714606</v>
      </c>
      <c r="J59" s="97">
        <f>J60+J61</f>
        <v>53378</v>
      </c>
      <c r="K59" s="94">
        <f>K60+K61</f>
        <v>50096.800000000003</v>
      </c>
      <c r="L59" s="133">
        <f t="shared" si="55"/>
        <v>0.93852898197759382</v>
      </c>
      <c r="M59" s="133">
        <f t="shared" si="56"/>
        <v>1.2118033799184533</v>
      </c>
      <c r="N59" s="26">
        <f t="shared" si="56"/>
        <v>1.1520160418707546</v>
      </c>
      <c r="O59" s="97">
        <f>O60+O61</f>
        <v>60698.9</v>
      </c>
      <c r="P59" s="94">
        <f>P60+P61</f>
        <v>47588</v>
      </c>
      <c r="Q59" s="202">
        <f>P59/O59</f>
        <v>0.78400102802521954</v>
      </c>
      <c r="R59" s="202">
        <f t="shared" si="57"/>
        <v>1.1371520101914647</v>
      </c>
      <c r="S59" s="201">
        <f t="shared" si="57"/>
        <v>0.9499209530349243</v>
      </c>
      <c r="T59" s="160">
        <v>60877.06</v>
      </c>
      <c r="U59" s="160">
        <v>59653.138099999996</v>
      </c>
      <c r="V59" s="178">
        <f>U59/T59</f>
        <v>0.97989518711974588</v>
      </c>
      <c r="W59" s="178">
        <f t="shared" si="40"/>
        <v>1.0029351437999701</v>
      </c>
      <c r="X59" s="183">
        <f t="shared" si="41"/>
        <v>1.2535332037488442</v>
      </c>
      <c r="Y59" s="160">
        <v>71265.600000000006</v>
      </c>
      <c r="Z59" s="160">
        <v>71076.5</v>
      </c>
      <c r="AA59" s="178">
        <f>Z59/Y59</f>
        <v>0.99734654587907767</v>
      </c>
      <c r="AB59" s="178">
        <f t="shared" si="51"/>
        <v>1.170647859801377</v>
      </c>
      <c r="AC59" s="183">
        <f t="shared" si="58"/>
        <v>1.1914964118207891</v>
      </c>
    </row>
    <row r="60" spans="1:29" s="18" customFormat="1" ht="26" x14ac:dyDescent="0.2">
      <c r="A60" s="83" t="s">
        <v>45</v>
      </c>
      <c r="B60" s="84">
        <v>44175.6</v>
      </c>
      <c r="C60" s="85">
        <v>41430.400000000001</v>
      </c>
      <c r="D60" s="31">
        <f t="shared" si="49"/>
        <v>0.93785709758328129</v>
      </c>
      <c r="E60" s="86">
        <v>44048.4</v>
      </c>
      <c r="F60" s="87">
        <v>43486.2</v>
      </c>
      <c r="G60" s="32">
        <f>F60/E60</f>
        <v>0.98723676682921502</v>
      </c>
      <c r="H60" s="32">
        <f t="shared" si="54"/>
        <v>0.99712058240295554</v>
      </c>
      <c r="I60" s="33">
        <f t="shared" si="54"/>
        <v>1.0496205684714606</v>
      </c>
      <c r="J60" s="98">
        <v>53137</v>
      </c>
      <c r="K60" s="87">
        <v>49917.8</v>
      </c>
      <c r="L60" s="32">
        <f t="shared" si="55"/>
        <v>0.93941697875303465</v>
      </c>
      <c r="M60" s="32">
        <f t="shared" si="56"/>
        <v>1.2063321255709629</v>
      </c>
      <c r="N60" s="33">
        <f t="shared" si="56"/>
        <v>1.1478997934977075</v>
      </c>
      <c r="O60" s="98">
        <v>60698.9</v>
      </c>
      <c r="P60" s="87">
        <v>47588</v>
      </c>
      <c r="Q60" s="186">
        <f>P60/O60</f>
        <v>0.78400102802521954</v>
      </c>
      <c r="R60" s="186">
        <f t="shared" si="57"/>
        <v>1.1423095018536991</v>
      </c>
      <c r="S60" s="221">
        <f t="shared" si="57"/>
        <v>0.95332727003193241</v>
      </c>
      <c r="T60" s="152">
        <v>60877.06</v>
      </c>
      <c r="U60" s="152">
        <v>59653.138099999996</v>
      </c>
      <c r="V60" s="178">
        <f t="shared" ref="V60:V74" si="59">U60/T60</f>
        <v>0.97989518711974588</v>
      </c>
      <c r="W60" s="178">
        <f t="shared" ref="W60:W87" si="60">T60/O60</f>
        <v>1.0029351437999701</v>
      </c>
      <c r="X60" s="183">
        <f t="shared" ref="X60:X87" si="61">U60/P60</f>
        <v>1.2535332037488442</v>
      </c>
      <c r="Y60" s="152">
        <v>71265.600000000006</v>
      </c>
      <c r="Z60" s="152">
        <v>71076.5</v>
      </c>
      <c r="AA60" s="178">
        <f t="shared" ref="AA60" si="62">Z60/Y60</f>
        <v>0.99734654587907767</v>
      </c>
      <c r="AB60" s="178">
        <f t="shared" si="51"/>
        <v>1.170647859801377</v>
      </c>
      <c r="AC60" s="183">
        <f t="shared" si="58"/>
        <v>1.1914964118207891</v>
      </c>
    </row>
    <row r="61" spans="1:29" s="18" customFormat="1" ht="26" x14ac:dyDescent="0.2">
      <c r="A61" s="83" t="s">
        <v>46</v>
      </c>
      <c r="B61" s="90"/>
      <c r="C61" s="71"/>
      <c r="D61" s="31">
        <v>0</v>
      </c>
      <c r="E61" s="67"/>
      <c r="F61" s="68"/>
      <c r="G61" s="32">
        <v>0</v>
      </c>
      <c r="H61" s="29">
        <v>0</v>
      </c>
      <c r="I61" s="30">
        <v>0</v>
      </c>
      <c r="J61" s="72">
        <v>241</v>
      </c>
      <c r="K61" s="68">
        <v>179</v>
      </c>
      <c r="L61" s="32">
        <f t="shared" si="55"/>
        <v>0.74273858921161828</v>
      </c>
      <c r="M61" s="32">
        <v>0</v>
      </c>
      <c r="N61" s="33">
        <v>0</v>
      </c>
      <c r="O61" s="72"/>
      <c r="P61" s="68"/>
      <c r="Q61" s="186">
        <v>0</v>
      </c>
      <c r="R61" s="186">
        <v>0</v>
      </c>
      <c r="S61" s="221">
        <v>0</v>
      </c>
      <c r="T61" s="152">
        <v>0</v>
      </c>
      <c r="U61" s="152">
        <v>0</v>
      </c>
      <c r="V61" s="178">
        <v>0</v>
      </c>
      <c r="W61" s="178">
        <v>0</v>
      </c>
      <c r="X61" s="183">
        <v>0</v>
      </c>
      <c r="Y61" s="152">
        <v>0</v>
      </c>
      <c r="Z61" s="152">
        <v>0</v>
      </c>
      <c r="AA61" s="178">
        <v>0</v>
      </c>
      <c r="AB61" s="178">
        <v>0</v>
      </c>
      <c r="AC61" s="183">
        <v>0</v>
      </c>
    </row>
    <row r="62" spans="1:29" s="11" customFormat="1" ht="13" x14ac:dyDescent="0.2">
      <c r="A62" s="59" t="s">
        <v>31</v>
      </c>
      <c r="B62" s="95">
        <v>199860</v>
      </c>
      <c r="C62" s="96">
        <v>157806.20000000001</v>
      </c>
      <c r="D62" s="130">
        <f t="shared" si="49"/>
        <v>0.78958370859601723</v>
      </c>
      <c r="E62" s="93"/>
      <c r="F62" s="94"/>
      <c r="G62" s="133">
        <v>0</v>
      </c>
      <c r="H62" s="133">
        <f t="shared" ref="H62:I67" si="63">E62/B62</f>
        <v>0</v>
      </c>
      <c r="I62" s="26">
        <f t="shared" si="63"/>
        <v>0</v>
      </c>
      <c r="J62" s="97"/>
      <c r="K62" s="94"/>
      <c r="L62" s="133">
        <v>0</v>
      </c>
      <c r="M62" s="133">
        <v>0</v>
      </c>
      <c r="N62" s="26">
        <v>0</v>
      </c>
      <c r="O62" s="97"/>
      <c r="P62" s="94"/>
      <c r="Q62" s="202">
        <v>0</v>
      </c>
      <c r="R62" s="202">
        <v>0</v>
      </c>
      <c r="S62" s="201">
        <v>0</v>
      </c>
      <c r="T62" s="154">
        <v>0</v>
      </c>
      <c r="U62" s="154">
        <v>0</v>
      </c>
      <c r="V62" s="178">
        <v>0</v>
      </c>
      <c r="W62" s="178">
        <v>0</v>
      </c>
      <c r="X62" s="183">
        <v>0</v>
      </c>
      <c r="Y62" s="154">
        <v>0</v>
      </c>
      <c r="Z62" s="154">
        <v>0</v>
      </c>
      <c r="AA62" s="178">
        <v>0</v>
      </c>
      <c r="AB62" s="178">
        <v>0</v>
      </c>
      <c r="AC62" s="183">
        <v>0</v>
      </c>
    </row>
    <row r="63" spans="1:29" s="11" customFormat="1" ht="13" x14ac:dyDescent="0.2">
      <c r="A63" s="59" t="s">
        <v>25</v>
      </c>
      <c r="B63" s="95">
        <v>59102.6</v>
      </c>
      <c r="C63" s="96">
        <v>54972.7</v>
      </c>
      <c r="D63" s="130">
        <f t="shared" si="49"/>
        <v>0.93012320946963412</v>
      </c>
      <c r="E63" s="93">
        <v>62250.9</v>
      </c>
      <c r="F63" s="94">
        <v>52635.7</v>
      </c>
      <c r="G63" s="133">
        <f>F63/E63</f>
        <v>0.84554118896272978</v>
      </c>
      <c r="H63" s="133">
        <f t="shared" si="63"/>
        <v>1.053268384132001</v>
      </c>
      <c r="I63" s="26">
        <f t="shared" si="63"/>
        <v>0.95748798949296654</v>
      </c>
      <c r="J63" s="97">
        <v>62246.1</v>
      </c>
      <c r="K63" s="97">
        <v>56430.1</v>
      </c>
      <c r="L63" s="133">
        <f t="shared" si="55"/>
        <v>0.90656442732958364</v>
      </c>
      <c r="M63" s="133">
        <f t="shared" ref="M63:N67" si="64">J63/E63</f>
        <v>0.9999228926810696</v>
      </c>
      <c r="N63" s="26">
        <f t="shared" si="64"/>
        <v>1.0720879555130833</v>
      </c>
      <c r="O63" s="97">
        <f>O64+O65</f>
        <v>69182.099999999991</v>
      </c>
      <c r="P63" s="97">
        <f>P64+P65</f>
        <v>63089.2</v>
      </c>
      <c r="Q63" s="202">
        <f>P63/O63</f>
        <v>0.91192953090467055</v>
      </c>
      <c r="R63" s="202">
        <f>O63/J63</f>
        <v>1.1114286678201524</v>
      </c>
      <c r="S63" s="202">
        <f>P63/K63</f>
        <v>1.118006170465762</v>
      </c>
      <c r="T63" s="160">
        <f>SUM(T64:T65)</f>
        <v>72770.173999999999</v>
      </c>
      <c r="U63" s="160">
        <f>SUM(U64:U65)</f>
        <v>63642.870139999999</v>
      </c>
      <c r="V63" s="178">
        <f t="shared" si="59"/>
        <v>0.87457356004123332</v>
      </c>
      <c r="W63" s="178">
        <f t="shared" si="60"/>
        <v>1.0518641960854038</v>
      </c>
      <c r="X63" s="183">
        <f t="shared" si="61"/>
        <v>1.0087759892342905</v>
      </c>
      <c r="Y63" s="160">
        <f>SUM(Y64:Y65)</f>
        <v>75534</v>
      </c>
      <c r="Z63" s="160">
        <f>SUM(Z64:Z65)</f>
        <v>69189.3</v>
      </c>
      <c r="AA63" s="178">
        <f t="shared" ref="AA63:AA68" si="65">Z63/Y63</f>
        <v>0.91600206529509898</v>
      </c>
      <c r="AB63" s="178">
        <f t="shared" ref="AB63:AB65" si="66">Y63/T63</f>
        <v>1.0379802032629468</v>
      </c>
      <c r="AC63" s="183">
        <f t="shared" ref="AC63:AC68" si="67">Z63/U63</f>
        <v>1.087149272931895</v>
      </c>
    </row>
    <row r="64" spans="1:29" s="18" customFormat="1" ht="26" x14ac:dyDescent="0.2">
      <c r="A64" s="83" t="s">
        <v>45</v>
      </c>
      <c r="B64" s="84">
        <v>59102.6</v>
      </c>
      <c r="C64" s="85">
        <v>54972.7</v>
      </c>
      <c r="D64" s="31">
        <f>C64/B64</f>
        <v>0.93012320946963412</v>
      </c>
      <c r="E64" s="86">
        <v>62250.9</v>
      </c>
      <c r="F64" s="87">
        <v>52635.7</v>
      </c>
      <c r="G64" s="32">
        <f>F64/E64</f>
        <v>0.84554118896272978</v>
      </c>
      <c r="H64" s="32">
        <f>E64/B64</f>
        <v>1.053268384132001</v>
      </c>
      <c r="I64" s="33">
        <f>F64/C64</f>
        <v>0.95748798949296654</v>
      </c>
      <c r="J64" s="98">
        <v>62246.1</v>
      </c>
      <c r="K64" s="87">
        <v>56430.1</v>
      </c>
      <c r="L64" s="32">
        <f>K64/J64</f>
        <v>0.90656442732958364</v>
      </c>
      <c r="M64" s="32">
        <f>J64/E64</f>
        <v>0.9999228926810696</v>
      </c>
      <c r="N64" s="33">
        <f>K64/F64</f>
        <v>1.0720879555130833</v>
      </c>
      <c r="O64" s="98">
        <v>68734.399999999994</v>
      </c>
      <c r="P64" s="87">
        <v>62641.5</v>
      </c>
      <c r="Q64" s="186">
        <f>P64/O64</f>
        <v>0.91135588584464267</v>
      </c>
      <c r="R64" s="186">
        <f>O64/J64</f>
        <v>1.1042362493393161</v>
      </c>
      <c r="S64" s="221">
        <f>P64/K64</f>
        <v>1.1100724613282629</v>
      </c>
      <c r="T64" s="153">
        <v>71889.133000000002</v>
      </c>
      <c r="U64" s="153">
        <v>63206.370139999999</v>
      </c>
      <c r="V64" s="178">
        <f t="shared" si="59"/>
        <v>0.87922009213826513</v>
      </c>
      <c r="W64" s="178">
        <f t="shared" si="60"/>
        <v>1.0458974400009313</v>
      </c>
      <c r="X64" s="183">
        <f t="shared" si="61"/>
        <v>1.0090175066050462</v>
      </c>
      <c r="Y64" s="153">
        <v>75243.3</v>
      </c>
      <c r="Z64" s="153">
        <v>68898.600000000006</v>
      </c>
      <c r="AA64" s="178">
        <f t="shared" si="65"/>
        <v>0.91567754205357821</v>
      </c>
      <c r="AB64" s="178">
        <f t="shared" si="66"/>
        <v>1.0466574968987317</v>
      </c>
      <c r="AC64" s="183">
        <f t="shared" si="67"/>
        <v>1.090057850931669</v>
      </c>
    </row>
    <row r="65" spans="1:29" s="18" customFormat="1" ht="26" x14ac:dyDescent="0.2">
      <c r="A65" s="83" t="s">
        <v>46</v>
      </c>
      <c r="B65" s="90"/>
      <c r="C65" s="71"/>
      <c r="D65" s="31">
        <v>0</v>
      </c>
      <c r="E65" s="67"/>
      <c r="F65" s="68"/>
      <c r="G65" s="32">
        <v>0</v>
      </c>
      <c r="H65" s="29">
        <v>0</v>
      </c>
      <c r="I65" s="30">
        <v>0</v>
      </c>
      <c r="J65" s="72"/>
      <c r="K65" s="68"/>
      <c r="L65" s="32">
        <v>0</v>
      </c>
      <c r="M65" s="32">
        <v>0</v>
      </c>
      <c r="N65" s="33">
        <v>0</v>
      </c>
      <c r="O65" s="72">
        <v>447.7</v>
      </c>
      <c r="P65" s="68">
        <v>447.7</v>
      </c>
      <c r="Q65" s="186">
        <f>P65/O65</f>
        <v>1</v>
      </c>
      <c r="R65" s="186">
        <v>0</v>
      </c>
      <c r="S65" s="221">
        <v>0</v>
      </c>
      <c r="T65" s="153">
        <v>881.04099999999994</v>
      </c>
      <c r="U65" s="153">
        <v>436.5</v>
      </c>
      <c r="V65" s="178">
        <f t="shared" si="59"/>
        <v>0.49543664823770972</v>
      </c>
      <c r="W65" s="178">
        <f t="shared" si="60"/>
        <v>1.9679271833817287</v>
      </c>
      <c r="X65" s="183">
        <f t="shared" si="61"/>
        <v>0.97498324771052047</v>
      </c>
      <c r="Y65" s="153">
        <v>290.7</v>
      </c>
      <c r="Z65" s="153">
        <v>290.7</v>
      </c>
      <c r="AA65" s="178">
        <f t="shared" si="65"/>
        <v>1</v>
      </c>
      <c r="AB65" s="178">
        <f t="shared" si="66"/>
        <v>0.32995059253769121</v>
      </c>
      <c r="AC65" s="183">
        <f t="shared" si="67"/>
        <v>0.66597938144329893</v>
      </c>
    </row>
    <row r="66" spans="1:29" s="11" customFormat="1" ht="26" x14ac:dyDescent="0.2">
      <c r="A66" s="59" t="s">
        <v>32</v>
      </c>
      <c r="B66" s="95">
        <v>4796</v>
      </c>
      <c r="C66" s="96">
        <v>4769.7999999999993</v>
      </c>
      <c r="D66" s="130">
        <f t="shared" si="49"/>
        <v>0.99453711426188474</v>
      </c>
      <c r="E66" s="93">
        <v>3791.7</v>
      </c>
      <c r="F66" s="94">
        <v>3613.8</v>
      </c>
      <c r="G66" s="133">
        <f>F66/E66</f>
        <v>0.95308173114961636</v>
      </c>
      <c r="H66" s="133">
        <f t="shared" si="63"/>
        <v>0.79059633027522935</v>
      </c>
      <c r="I66" s="26">
        <f t="shared" si="63"/>
        <v>0.75764182984611528</v>
      </c>
      <c r="J66" s="97">
        <f>J67+J68+J69</f>
        <v>2716.6</v>
      </c>
      <c r="K66" s="97">
        <f>K67+K68+K69</f>
        <v>2673.2</v>
      </c>
      <c r="L66" s="133">
        <f t="shared" si="55"/>
        <v>0.98402414783184855</v>
      </c>
      <c r="M66" s="133">
        <f t="shared" si="64"/>
        <v>0.71645963551968772</v>
      </c>
      <c r="N66" s="26">
        <f t="shared" si="64"/>
        <v>0.73971996236648396</v>
      </c>
      <c r="O66" s="97">
        <f>O67+O68+O69</f>
        <v>4657.8</v>
      </c>
      <c r="P66" s="97">
        <f>P67+P68+P69</f>
        <v>4416.7</v>
      </c>
      <c r="Q66" s="202">
        <f>P66/O66</f>
        <v>0.94823736527974578</v>
      </c>
      <c r="R66" s="202">
        <f>O66/J66</f>
        <v>1.7145696826915999</v>
      </c>
      <c r="S66" s="201">
        <f>P66/K66</f>
        <v>1.6522145742929821</v>
      </c>
      <c r="T66" s="154">
        <v>53763.358950000002</v>
      </c>
      <c r="U66" s="154">
        <v>53582.929080000002</v>
      </c>
      <c r="V66" s="178">
        <f t="shared" si="59"/>
        <v>0.99664399930503222</v>
      </c>
      <c r="W66" s="178">
        <f>T66/O66</f>
        <v>11.542650811541929</v>
      </c>
      <c r="X66" s="183">
        <f t="shared" si="61"/>
        <v>12.131892381189576</v>
      </c>
      <c r="Y66" s="154">
        <f>1794.4+36020.1</f>
        <v>37814.5</v>
      </c>
      <c r="Z66" s="154">
        <f>1792.7+35875.2</f>
        <v>37667.899999999994</v>
      </c>
      <c r="AA66" s="178">
        <f t="shared" si="65"/>
        <v>0.99612318026153979</v>
      </c>
      <c r="AB66" s="178">
        <f>Y66/T66</f>
        <v>0.70335077157600101</v>
      </c>
      <c r="AC66" s="183">
        <f t="shared" si="67"/>
        <v>0.70298321959520604</v>
      </c>
    </row>
    <row r="67" spans="1:29" s="18" customFormat="1" ht="26" hidden="1" x14ac:dyDescent="0.2">
      <c r="A67" s="83" t="s">
        <v>45</v>
      </c>
      <c r="B67" s="84">
        <v>4796</v>
      </c>
      <c r="C67" s="85">
        <v>4769.7999999999993</v>
      </c>
      <c r="D67" s="31">
        <f t="shared" si="49"/>
        <v>0.99453711426188474</v>
      </c>
      <c r="E67" s="86">
        <v>3791.7</v>
      </c>
      <c r="F67" s="87">
        <v>3613.8</v>
      </c>
      <c r="G67" s="32">
        <f>F67/E67</f>
        <v>0.95308173114961636</v>
      </c>
      <c r="H67" s="32">
        <f t="shared" si="63"/>
        <v>0.79059633027522935</v>
      </c>
      <c r="I67" s="33">
        <f t="shared" si="63"/>
        <v>0.75764182984611528</v>
      </c>
      <c r="J67" s="98">
        <v>2656.6</v>
      </c>
      <c r="K67" s="87">
        <v>2613.1999999999998</v>
      </c>
      <c r="L67" s="32">
        <f>K67/J67</f>
        <v>0.98366332906722875</v>
      </c>
      <c r="M67" s="32">
        <f t="shared" si="64"/>
        <v>0.70063559880792259</v>
      </c>
      <c r="N67" s="33">
        <f t="shared" si="64"/>
        <v>0.72311694061652543</v>
      </c>
      <c r="O67" s="98">
        <v>4657.8</v>
      </c>
      <c r="P67" s="87">
        <v>4416.7</v>
      </c>
      <c r="Q67" s="186">
        <f>P67/O67</f>
        <v>0.94823736527974578</v>
      </c>
      <c r="R67" s="186">
        <f>O67/J67</f>
        <v>1.7532936836558008</v>
      </c>
      <c r="S67" s="221">
        <f>P67/K67</f>
        <v>1.6901500076534517</v>
      </c>
      <c r="T67" s="153">
        <v>53763.358950000002</v>
      </c>
      <c r="U67" s="153">
        <v>53582.929080000002</v>
      </c>
      <c r="V67" s="178">
        <f t="shared" si="59"/>
        <v>0.99664399930503222</v>
      </c>
      <c r="W67" s="178">
        <f t="shared" si="60"/>
        <v>11.542650811541929</v>
      </c>
      <c r="X67" s="183">
        <f t="shared" si="61"/>
        <v>12.131892381189576</v>
      </c>
      <c r="Y67" s="153">
        <v>53763.358950000002</v>
      </c>
      <c r="Z67" s="153">
        <v>53582.929080000002</v>
      </c>
      <c r="AA67" s="178">
        <f t="shared" si="65"/>
        <v>0.99664399930503222</v>
      </c>
      <c r="AB67" s="178">
        <f t="shared" ref="AB67:AB68" si="68">Y67/T67</f>
        <v>1</v>
      </c>
      <c r="AC67" s="183">
        <f t="shared" si="67"/>
        <v>1</v>
      </c>
    </row>
    <row r="68" spans="1:29" s="18" customFormat="1" ht="26" hidden="1" x14ac:dyDescent="0.2">
      <c r="A68" s="83" t="s">
        <v>46</v>
      </c>
      <c r="B68" s="90"/>
      <c r="C68" s="71"/>
      <c r="D68" s="31">
        <v>0</v>
      </c>
      <c r="E68" s="67"/>
      <c r="F68" s="68"/>
      <c r="G68" s="32">
        <v>0</v>
      </c>
      <c r="H68" s="29">
        <v>0</v>
      </c>
      <c r="I68" s="30">
        <v>0</v>
      </c>
      <c r="J68" s="72"/>
      <c r="K68" s="68"/>
      <c r="L68" s="32">
        <v>0</v>
      </c>
      <c r="M68" s="32">
        <v>0</v>
      </c>
      <c r="N68" s="33">
        <v>0</v>
      </c>
      <c r="O68" s="72"/>
      <c r="P68" s="68"/>
      <c r="Q68" s="186">
        <v>0</v>
      </c>
      <c r="R68" s="186">
        <v>0</v>
      </c>
      <c r="S68" s="221">
        <v>0</v>
      </c>
      <c r="T68" s="156"/>
      <c r="U68" s="156"/>
      <c r="V68" s="178" t="e">
        <f t="shared" si="59"/>
        <v>#DIV/0!</v>
      </c>
      <c r="W68" s="178" t="e">
        <f t="shared" si="60"/>
        <v>#DIV/0!</v>
      </c>
      <c r="X68" s="183" t="e">
        <f t="shared" si="61"/>
        <v>#DIV/0!</v>
      </c>
      <c r="Y68" s="156"/>
      <c r="Z68" s="156"/>
      <c r="AA68" s="178" t="e">
        <f t="shared" si="65"/>
        <v>#DIV/0!</v>
      </c>
      <c r="AB68" s="178" t="e">
        <f t="shared" si="68"/>
        <v>#DIV/0!</v>
      </c>
      <c r="AC68" s="183" t="e">
        <f t="shared" si="67"/>
        <v>#DIV/0!</v>
      </c>
    </row>
    <row r="69" spans="1:29" s="18" customFormat="1" ht="26" hidden="1" x14ac:dyDescent="0.2">
      <c r="A69" s="83" t="s">
        <v>48</v>
      </c>
      <c r="B69" s="90"/>
      <c r="C69" s="71"/>
      <c r="D69" s="31">
        <v>0</v>
      </c>
      <c r="E69" s="67"/>
      <c r="F69" s="68"/>
      <c r="G69" s="32">
        <v>0</v>
      </c>
      <c r="H69" s="32">
        <v>0</v>
      </c>
      <c r="I69" s="33">
        <v>0</v>
      </c>
      <c r="J69" s="72">
        <v>60</v>
      </c>
      <c r="K69" s="68">
        <v>60</v>
      </c>
      <c r="L69" s="32">
        <f>K69/J69</f>
        <v>1</v>
      </c>
      <c r="M69" s="32">
        <v>0</v>
      </c>
      <c r="N69" s="33">
        <v>0</v>
      </c>
      <c r="O69" s="72"/>
      <c r="P69" s="68"/>
      <c r="Q69" s="186">
        <v>0</v>
      </c>
      <c r="R69" s="186">
        <v>0</v>
      </c>
      <c r="S69" s="221">
        <v>0</v>
      </c>
      <c r="T69" s="153">
        <v>0</v>
      </c>
      <c r="U69" s="153">
        <v>0</v>
      </c>
      <c r="V69" s="178">
        <v>0</v>
      </c>
      <c r="W69" s="178">
        <v>0</v>
      </c>
      <c r="X69" s="183">
        <v>0</v>
      </c>
      <c r="Y69" s="153">
        <v>0</v>
      </c>
      <c r="Z69" s="153">
        <v>0</v>
      </c>
      <c r="AA69" s="178">
        <v>0</v>
      </c>
      <c r="AB69" s="178">
        <v>0</v>
      </c>
      <c r="AC69" s="183">
        <v>0</v>
      </c>
    </row>
    <row r="70" spans="1:29" s="11" customFormat="1" ht="26" x14ac:dyDescent="0.2">
      <c r="A70" s="59" t="s">
        <v>33</v>
      </c>
      <c r="B70" s="95">
        <v>6085.5</v>
      </c>
      <c r="C70" s="96">
        <v>6085.5</v>
      </c>
      <c r="D70" s="130">
        <f t="shared" si="49"/>
        <v>1</v>
      </c>
      <c r="E70" s="93">
        <v>6538.2</v>
      </c>
      <c r="F70" s="94">
        <v>6320.5</v>
      </c>
      <c r="G70" s="133">
        <f>F70/E70</f>
        <v>0.96670337401731365</v>
      </c>
      <c r="H70" s="133">
        <f t="shared" ref="H70:I73" si="69">E70/B70</f>
        <v>1.074389943307863</v>
      </c>
      <c r="I70" s="26">
        <f t="shared" si="69"/>
        <v>1.0386163832059814</v>
      </c>
      <c r="J70" s="101">
        <v>6990.5</v>
      </c>
      <c r="K70" s="101">
        <v>6990.5</v>
      </c>
      <c r="L70" s="133">
        <f t="shared" si="55"/>
        <v>1</v>
      </c>
      <c r="M70" s="133">
        <f t="shared" ref="M70:N73" si="70">J70/E70</f>
        <v>1.0691780612400967</v>
      </c>
      <c r="N70" s="26">
        <f t="shared" si="70"/>
        <v>1.1060042718139387</v>
      </c>
      <c r="O70" s="101">
        <v>8775.2999999999993</v>
      </c>
      <c r="P70" s="101">
        <v>8495</v>
      </c>
      <c r="Q70" s="202">
        <f t="shared" ref="Q70:Q75" si="71">P70/O70</f>
        <v>0.96805807208870365</v>
      </c>
      <c r="R70" s="202">
        <f t="shared" ref="R70:S74" si="72">O70/J70</f>
        <v>1.2553179314784348</v>
      </c>
      <c r="S70" s="201">
        <f t="shared" si="72"/>
        <v>1.2152206566053931</v>
      </c>
      <c r="T70" s="154">
        <v>11167.52648</v>
      </c>
      <c r="U70" s="154">
        <v>10722.472040000001</v>
      </c>
      <c r="V70" s="178">
        <f t="shared" si="59"/>
        <v>0.96014744708265964</v>
      </c>
      <c r="W70" s="178">
        <f t="shared" si="60"/>
        <v>1.2726090823105765</v>
      </c>
      <c r="X70" s="183">
        <f t="shared" si="61"/>
        <v>1.2622097751618599</v>
      </c>
      <c r="Y70" s="154">
        <v>5681.5</v>
      </c>
      <c r="Z70" s="154">
        <v>5681.5</v>
      </c>
      <c r="AA70" s="178">
        <f t="shared" ref="AA70:AA74" si="73">Z70/Y70</f>
        <v>1</v>
      </c>
      <c r="AB70" s="178">
        <f t="shared" ref="AB70:AB74" si="74">Y70/T70</f>
        <v>0.5087518717931887</v>
      </c>
      <c r="AC70" s="183">
        <f t="shared" ref="AC70:AC74" si="75">Z70/U70</f>
        <v>0.52986848357405458</v>
      </c>
    </row>
    <row r="71" spans="1:29" s="11" customFormat="1" ht="26" x14ac:dyDescent="0.2">
      <c r="A71" s="59" t="s">
        <v>34</v>
      </c>
      <c r="B71" s="95">
        <v>3363.4</v>
      </c>
      <c r="C71" s="92">
        <v>3363.4</v>
      </c>
      <c r="D71" s="130">
        <f t="shared" si="49"/>
        <v>1</v>
      </c>
      <c r="E71" s="93">
        <v>2662.9</v>
      </c>
      <c r="F71" s="94">
        <v>2662.9</v>
      </c>
      <c r="G71" s="133">
        <f t="shared" ref="G71:G87" si="76">F71/E71</f>
        <v>1</v>
      </c>
      <c r="H71" s="133">
        <f t="shared" si="69"/>
        <v>0.79172860795623479</v>
      </c>
      <c r="I71" s="26">
        <f t="shared" si="69"/>
        <v>0.79172860795623479</v>
      </c>
      <c r="J71" s="97">
        <v>822.5</v>
      </c>
      <c r="K71" s="94">
        <v>822.5</v>
      </c>
      <c r="L71" s="133">
        <f t="shared" si="55"/>
        <v>1</v>
      </c>
      <c r="M71" s="133">
        <f t="shared" si="70"/>
        <v>0.30887378422021106</v>
      </c>
      <c r="N71" s="26">
        <f t="shared" si="70"/>
        <v>0.30887378422021106</v>
      </c>
      <c r="O71" s="97">
        <v>566.5</v>
      </c>
      <c r="P71" s="94">
        <v>566.5</v>
      </c>
      <c r="Q71" s="202">
        <f t="shared" si="71"/>
        <v>1</v>
      </c>
      <c r="R71" s="202">
        <f t="shared" si="72"/>
        <v>0.68875379939209724</v>
      </c>
      <c r="S71" s="201">
        <f t="shared" si="72"/>
        <v>0.68875379939209724</v>
      </c>
      <c r="T71" s="154">
        <v>394.85334999999998</v>
      </c>
      <c r="U71" s="154">
        <v>394.85248999999999</v>
      </c>
      <c r="V71" s="178">
        <f t="shared" si="59"/>
        <v>0.99999782197618436</v>
      </c>
      <c r="W71" s="178">
        <f t="shared" si="60"/>
        <v>0.69700503089143862</v>
      </c>
      <c r="X71" s="183">
        <f t="shared" si="61"/>
        <v>0.69700351279788175</v>
      </c>
      <c r="Y71" s="154">
        <v>108</v>
      </c>
      <c r="Z71" s="154">
        <v>107.9</v>
      </c>
      <c r="AA71" s="178">
        <f t="shared" si="73"/>
        <v>0.99907407407407411</v>
      </c>
      <c r="AB71" s="178">
        <f t="shared" si="74"/>
        <v>0.2735192698757653</v>
      </c>
      <c r="AC71" s="183">
        <f t="shared" si="75"/>
        <v>0.27326660647372392</v>
      </c>
    </row>
    <row r="72" spans="1:29" s="11" customFormat="1" ht="39" x14ac:dyDescent="0.2">
      <c r="A72" s="59" t="s">
        <v>70</v>
      </c>
      <c r="B72" s="95">
        <v>101854.8</v>
      </c>
      <c r="C72" s="96">
        <v>101854.8</v>
      </c>
      <c r="D72" s="130">
        <f t="shared" si="49"/>
        <v>1</v>
      </c>
      <c r="E72" s="93">
        <v>89007.7</v>
      </c>
      <c r="F72" s="94">
        <v>87882.9</v>
      </c>
      <c r="G72" s="133">
        <f t="shared" si="76"/>
        <v>0.98736289107571584</v>
      </c>
      <c r="H72" s="133">
        <f t="shared" si="69"/>
        <v>0.87386848729760402</v>
      </c>
      <c r="I72" s="26">
        <f t="shared" si="69"/>
        <v>0.86282531603812473</v>
      </c>
      <c r="J72" s="97">
        <v>96021.8</v>
      </c>
      <c r="K72" s="94">
        <v>96021.8</v>
      </c>
      <c r="L72" s="133">
        <f t="shared" si="55"/>
        <v>1</v>
      </c>
      <c r="M72" s="133">
        <f t="shared" si="70"/>
        <v>1.078803294546427</v>
      </c>
      <c r="N72" s="26">
        <f t="shared" si="70"/>
        <v>1.0926107354217944</v>
      </c>
      <c r="O72" s="97">
        <v>62274</v>
      </c>
      <c r="P72" s="94">
        <v>62274</v>
      </c>
      <c r="Q72" s="202">
        <f t="shared" si="71"/>
        <v>1</v>
      </c>
      <c r="R72" s="202">
        <f t="shared" si="72"/>
        <v>0.64854022732337868</v>
      </c>
      <c r="S72" s="201">
        <f t="shared" si="72"/>
        <v>0.64854022732337868</v>
      </c>
      <c r="T72" s="154">
        <v>72603.34</v>
      </c>
      <c r="U72" s="154">
        <v>72603.34</v>
      </c>
      <c r="V72" s="178">
        <f t="shared" si="59"/>
        <v>1</v>
      </c>
      <c r="W72" s="178">
        <f t="shared" si="60"/>
        <v>1.1658692231107686</v>
      </c>
      <c r="X72" s="183">
        <f t="shared" si="61"/>
        <v>1.1658692231107686</v>
      </c>
      <c r="Y72" s="154">
        <v>75528.100000000006</v>
      </c>
      <c r="Z72" s="154">
        <v>75528.100000000006</v>
      </c>
      <c r="AA72" s="178">
        <f t="shared" si="73"/>
        <v>1</v>
      </c>
      <c r="AB72" s="178">
        <f t="shared" si="74"/>
        <v>1.0402840971228047</v>
      </c>
      <c r="AC72" s="183">
        <f t="shared" si="75"/>
        <v>1.0402840971228047</v>
      </c>
    </row>
    <row r="73" spans="1:29" s="11" customFormat="1" ht="57" customHeight="1" x14ac:dyDescent="0.2">
      <c r="A73" s="59" t="s">
        <v>40</v>
      </c>
      <c r="B73" s="91">
        <f>SUM(B74:B85)</f>
        <v>186555.6</v>
      </c>
      <c r="C73" s="91">
        <f>SUM(C74:C85)</f>
        <v>171415.4</v>
      </c>
      <c r="D73" s="130">
        <f t="shared" si="49"/>
        <v>0.91884349759535489</v>
      </c>
      <c r="E73" s="99">
        <f>SUM(E74:E85)</f>
        <v>171879.7</v>
      </c>
      <c r="F73" s="92">
        <f>SUM(F74:F85)</f>
        <v>158809.50000000003</v>
      </c>
      <c r="G73" s="133">
        <f t="shared" si="76"/>
        <v>0.92395727942275918</v>
      </c>
      <c r="H73" s="133">
        <f t="shared" si="69"/>
        <v>0.92133229986127463</v>
      </c>
      <c r="I73" s="26">
        <f t="shared" si="69"/>
        <v>0.92645993300485274</v>
      </c>
      <c r="J73" s="91">
        <f>SUM(J74:J85)</f>
        <v>250703.99999999997</v>
      </c>
      <c r="K73" s="92">
        <f>SUM(K74:K85)</f>
        <v>243163.39999999997</v>
      </c>
      <c r="L73" s="133">
        <f t="shared" si="55"/>
        <v>0.96992229880656067</v>
      </c>
      <c r="M73" s="133">
        <f t="shared" si="70"/>
        <v>1.4586015684225651</v>
      </c>
      <c r="N73" s="26">
        <f t="shared" si="70"/>
        <v>1.5311640676407892</v>
      </c>
      <c r="O73" s="91">
        <f>SUM(O74:O85)</f>
        <v>160745.5</v>
      </c>
      <c r="P73" s="92">
        <f>SUM(P74:P85)</f>
        <v>149357.89999999997</v>
      </c>
      <c r="Q73" s="202">
        <f t="shared" si="71"/>
        <v>0.92915758139419125</v>
      </c>
      <c r="R73" s="202">
        <f t="shared" si="72"/>
        <v>0.64117644712489641</v>
      </c>
      <c r="S73" s="201">
        <f t="shared" si="72"/>
        <v>0.6142285393278758</v>
      </c>
      <c r="T73" s="161">
        <f>SUM(T74:T84)</f>
        <v>50258.015529999997</v>
      </c>
      <c r="U73" s="162">
        <f>SUM(U74:U84)</f>
        <v>46377</v>
      </c>
      <c r="V73" s="178">
        <f t="shared" si="59"/>
        <v>0.92277817798668671</v>
      </c>
      <c r="W73" s="178">
        <f t="shared" si="60"/>
        <v>0.3126558163681098</v>
      </c>
      <c r="X73" s="183">
        <f t="shared" si="61"/>
        <v>0.31050918632358926</v>
      </c>
      <c r="Y73" s="161">
        <f>SUM(Y74:Y84)</f>
        <v>44148.3</v>
      </c>
      <c r="Z73" s="162">
        <f>SUM(Z74:Z84)</f>
        <v>43406.8</v>
      </c>
      <c r="AA73" s="178">
        <f t="shared" si="73"/>
        <v>0.98320433629380977</v>
      </c>
      <c r="AB73" s="178">
        <f t="shared" si="74"/>
        <v>0.87843301281259334</v>
      </c>
      <c r="AC73" s="183">
        <f t="shared" si="75"/>
        <v>0.93595532268150172</v>
      </c>
    </row>
    <row r="74" spans="1:29" s="10" customFormat="1" ht="27" x14ac:dyDescent="0.2">
      <c r="A74" s="64" t="s">
        <v>50</v>
      </c>
      <c r="B74" s="102"/>
      <c r="C74" s="103"/>
      <c r="D74" s="40">
        <v>0</v>
      </c>
      <c r="E74" s="104"/>
      <c r="F74" s="105"/>
      <c r="G74" s="41">
        <v>0</v>
      </c>
      <c r="H74" s="41">
        <v>0</v>
      </c>
      <c r="I74" s="42">
        <v>0</v>
      </c>
      <c r="J74" s="106">
        <v>16</v>
      </c>
      <c r="K74" s="105">
        <v>12</v>
      </c>
      <c r="L74" s="41">
        <f>K74/J74</f>
        <v>0.75</v>
      </c>
      <c r="M74" s="41">
        <v>0</v>
      </c>
      <c r="N74" s="42">
        <v>0</v>
      </c>
      <c r="O74" s="106">
        <v>16</v>
      </c>
      <c r="P74" s="105">
        <v>16</v>
      </c>
      <c r="Q74" s="222">
        <f>P74/O74</f>
        <v>1</v>
      </c>
      <c r="R74" s="222">
        <f t="shared" si="72"/>
        <v>1</v>
      </c>
      <c r="S74" s="223">
        <f t="shared" si="72"/>
        <v>1.3333333333333333</v>
      </c>
      <c r="T74" s="163">
        <v>9353.9838499999987</v>
      </c>
      <c r="U74" s="163">
        <v>8696.7000000000007</v>
      </c>
      <c r="V74" s="178">
        <f t="shared" si="59"/>
        <v>0.92973220175059446</v>
      </c>
      <c r="W74" s="178">
        <f t="shared" si="60"/>
        <v>584.62399062499992</v>
      </c>
      <c r="X74" s="183">
        <f t="shared" si="61"/>
        <v>543.54375000000005</v>
      </c>
      <c r="Y74" s="163">
        <f>Y40</f>
        <v>8134.1</v>
      </c>
      <c r="Z74" s="163">
        <f>Z40</f>
        <v>7693.1</v>
      </c>
      <c r="AA74" s="178">
        <f t="shared" si="73"/>
        <v>0.9457837990681206</v>
      </c>
      <c r="AB74" s="178">
        <f t="shared" si="74"/>
        <v>0.86958670556182338</v>
      </c>
      <c r="AC74" s="183">
        <f t="shared" si="75"/>
        <v>0.88459990571136171</v>
      </c>
    </row>
    <row r="75" spans="1:29" s="10" customFormat="1" ht="13.5" x14ac:dyDescent="0.2">
      <c r="A75" s="64" t="s">
        <v>39</v>
      </c>
      <c r="B75" s="102">
        <v>1549.2</v>
      </c>
      <c r="C75" s="103">
        <v>1549.2</v>
      </c>
      <c r="D75" s="40">
        <f t="shared" si="49"/>
        <v>1</v>
      </c>
      <c r="E75" s="104">
        <v>1382.9</v>
      </c>
      <c r="F75" s="105">
        <v>1382.9</v>
      </c>
      <c r="G75" s="41">
        <f t="shared" si="76"/>
        <v>1</v>
      </c>
      <c r="H75" s="41">
        <f>E75/B75</f>
        <v>0.89265427317325075</v>
      </c>
      <c r="I75" s="42">
        <f>F75/C75</f>
        <v>0.89265427317325075</v>
      </c>
      <c r="J75" s="106">
        <v>1368.2</v>
      </c>
      <c r="K75" s="105">
        <v>1368.2</v>
      </c>
      <c r="L75" s="41">
        <f t="shared" si="55"/>
        <v>1</v>
      </c>
      <c r="M75" s="41">
        <f t="shared" ref="M75:N81" si="77">J75/E75</f>
        <v>0.98937016414780532</v>
      </c>
      <c r="N75" s="42">
        <f t="shared" si="77"/>
        <v>0.98937016414780532</v>
      </c>
      <c r="O75" s="106">
        <v>1455.2</v>
      </c>
      <c r="P75" s="105">
        <v>1455.2</v>
      </c>
      <c r="Q75" s="222">
        <f t="shared" si="71"/>
        <v>1</v>
      </c>
      <c r="R75" s="222">
        <f t="shared" ref="R75:R81" si="78">O75/J75</f>
        <v>1.0635871948545534</v>
      </c>
      <c r="S75" s="223">
        <f t="shared" ref="S75:S81" si="79">P75/K75</f>
        <v>1.0635871948545534</v>
      </c>
      <c r="T75" s="163">
        <v>0</v>
      </c>
      <c r="U75" s="163">
        <v>0</v>
      </c>
      <c r="V75" s="178">
        <v>0</v>
      </c>
      <c r="W75" s="178">
        <f>T75/O75</f>
        <v>0</v>
      </c>
      <c r="X75" s="183">
        <f>U75/P75</f>
        <v>0</v>
      </c>
      <c r="Y75" s="163">
        <v>0</v>
      </c>
      <c r="Z75" s="163">
        <v>0</v>
      </c>
      <c r="AA75" s="178">
        <v>0</v>
      </c>
      <c r="AB75" s="178">
        <v>0</v>
      </c>
      <c r="AC75" s="178">
        <v>0</v>
      </c>
    </row>
    <row r="76" spans="1:29" s="10" customFormat="1" ht="13.5" x14ac:dyDescent="0.2">
      <c r="A76" s="64" t="s">
        <v>51</v>
      </c>
      <c r="B76" s="102"/>
      <c r="C76" s="103"/>
      <c r="D76" s="40">
        <v>0</v>
      </c>
      <c r="E76" s="104">
        <v>2022.6</v>
      </c>
      <c r="F76" s="105">
        <v>2022.6</v>
      </c>
      <c r="G76" s="41">
        <f t="shared" si="76"/>
        <v>1</v>
      </c>
      <c r="H76" s="41">
        <v>0</v>
      </c>
      <c r="I76" s="42">
        <v>0</v>
      </c>
      <c r="J76" s="106">
        <v>2229.5</v>
      </c>
      <c r="K76" s="105">
        <v>2229.4</v>
      </c>
      <c r="L76" s="41">
        <f t="shared" ref="L76:L82" si="80">K76/J76</f>
        <v>0.9999551468939224</v>
      </c>
      <c r="M76" s="41">
        <f t="shared" si="77"/>
        <v>1.1022940769306833</v>
      </c>
      <c r="N76" s="42">
        <f t="shared" si="77"/>
        <v>1.1022446356175222</v>
      </c>
      <c r="O76" s="106"/>
      <c r="P76" s="105"/>
      <c r="Q76" s="222">
        <v>0</v>
      </c>
      <c r="R76" s="222">
        <f t="shared" si="78"/>
        <v>0</v>
      </c>
      <c r="S76" s="223">
        <f t="shared" si="79"/>
        <v>0</v>
      </c>
      <c r="T76" s="163">
        <v>1383.22</v>
      </c>
      <c r="U76" s="163">
        <v>1382.8</v>
      </c>
      <c r="V76" s="178">
        <f>U76/T76</f>
        <v>0.99969636066569301</v>
      </c>
      <c r="W76" s="178">
        <v>0</v>
      </c>
      <c r="X76" s="183">
        <v>0</v>
      </c>
      <c r="Y76" s="163">
        <f>Y44+Y46</f>
        <v>1522.6</v>
      </c>
      <c r="Z76" s="163">
        <f>Z44+Z46</f>
        <v>1476.1</v>
      </c>
      <c r="AA76" s="178">
        <f>Z76/Y76</f>
        <v>0.96946013398134767</v>
      </c>
      <c r="AB76" s="178">
        <v>0</v>
      </c>
      <c r="AC76" s="183">
        <v>0</v>
      </c>
    </row>
    <row r="77" spans="1:29" s="10" customFormat="1" ht="13.5" x14ac:dyDescent="0.2">
      <c r="A77" s="64" t="s">
        <v>22</v>
      </c>
      <c r="B77" s="107">
        <v>32897.800000000003</v>
      </c>
      <c r="C77" s="108">
        <v>32897.800000000003</v>
      </c>
      <c r="D77" s="40">
        <f t="shared" si="49"/>
        <v>1</v>
      </c>
      <c r="E77" s="104">
        <v>20792.7</v>
      </c>
      <c r="F77" s="108">
        <v>14256.2</v>
      </c>
      <c r="G77" s="41">
        <f t="shared" si="76"/>
        <v>0.68563486223530379</v>
      </c>
      <c r="H77" s="41">
        <f>E77/B77</f>
        <v>0.63203922450741379</v>
      </c>
      <c r="I77" s="42">
        <f t="shared" ref="I77:I84" si="81">F77/C77</f>
        <v>0.43334812662244893</v>
      </c>
      <c r="J77" s="106">
        <v>28954.799999999999</v>
      </c>
      <c r="K77" s="108">
        <v>28756.799999999999</v>
      </c>
      <c r="L77" s="41">
        <f t="shared" si="80"/>
        <v>0.99316175556384434</v>
      </c>
      <c r="M77" s="41">
        <f t="shared" si="77"/>
        <v>1.3925464225425268</v>
      </c>
      <c r="N77" s="42">
        <f t="shared" si="77"/>
        <v>2.0171434183022123</v>
      </c>
      <c r="O77" s="106">
        <v>35156.9</v>
      </c>
      <c r="P77" s="108">
        <v>34624.400000000001</v>
      </c>
      <c r="Q77" s="222">
        <f>P77/O77</f>
        <v>0.98485361337319277</v>
      </c>
      <c r="R77" s="222">
        <f t="shared" si="78"/>
        <v>1.2141993728155609</v>
      </c>
      <c r="S77" s="223">
        <f t="shared" si="79"/>
        <v>1.2040421743726701</v>
      </c>
      <c r="T77" s="163">
        <v>13007.91707</v>
      </c>
      <c r="U77" s="163">
        <v>12746.7</v>
      </c>
      <c r="V77" s="178">
        <f>U77/T77</f>
        <v>0.97991860890607607</v>
      </c>
      <c r="W77" s="178">
        <f t="shared" ref="W77:X79" si="82">T77/O77</f>
        <v>0.36999613361815176</v>
      </c>
      <c r="X77" s="183">
        <f t="shared" si="82"/>
        <v>0.3681421194302284</v>
      </c>
      <c r="Y77" s="163">
        <f>Y50</f>
        <v>11794.199999999999</v>
      </c>
      <c r="Z77" s="163">
        <f>Z50</f>
        <v>11772.300000000001</v>
      </c>
      <c r="AA77" s="178">
        <f>Z77/Y77</f>
        <v>0.99814315511013907</v>
      </c>
      <c r="AB77" s="178">
        <f t="shared" ref="AB77:AB79" si="83">Y77/T77</f>
        <v>0.90669397233480353</v>
      </c>
      <c r="AC77" s="183">
        <f t="shared" ref="AC77:AC79" si="84">Z77/U77</f>
        <v>0.92355668525971435</v>
      </c>
    </row>
    <row r="78" spans="1:29" s="10" customFormat="1" ht="13.5" x14ac:dyDescent="0.2">
      <c r="A78" s="64" t="s">
        <v>23</v>
      </c>
      <c r="B78" s="102">
        <v>143619.6</v>
      </c>
      <c r="C78" s="103">
        <v>128479.4</v>
      </c>
      <c r="D78" s="40">
        <f t="shared" si="49"/>
        <v>0.89458124100053193</v>
      </c>
      <c r="E78" s="104">
        <v>138071.5</v>
      </c>
      <c r="F78" s="105">
        <v>132521.60000000001</v>
      </c>
      <c r="G78" s="41">
        <f t="shared" si="76"/>
        <v>0.95980415943913122</v>
      </c>
      <c r="H78" s="41">
        <f t="shared" ref="H78:H87" si="85">E78/B78</f>
        <v>0.96136947881765433</v>
      </c>
      <c r="I78" s="42">
        <f t="shared" si="81"/>
        <v>1.0314618530285791</v>
      </c>
      <c r="J78" s="106">
        <v>206585.8</v>
      </c>
      <c r="K78" s="108">
        <v>200327.3</v>
      </c>
      <c r="L78" s="41">
        <f t="shared" si="80"/>
        <v>0.9697050813753898</v>
      </c>
      <c r="M78" s="41">
        <f t="shared" si="77"/>
        <v>1.4962233335626831</v>
      </c>
      <c r="N78" s="42">
        <f t="shared" si="77"/>
        <v>1.5116577222128316</v>
      </c>
      <c r="O78" s="106">
        <v>73089.3</v>
      </c>
      <c r="P78" s="108">
        <v>64744.7</v>
      </c>
      <c r="Q78" s="222">
        <f>P78/O78</f>
        <v>0.88583007362226751</v>
      </c>
      <c r="R78" s="222">
        <f t="shared" si="78"/>
        <v>0.35379634030993423</v>
      </c>
      <c r="S78" s="223">
        <f t="shared" si="79"/>
        <v>0.32319459205010997</v>
      </c>
      <c r="T78" s="163">
        <v>25205.71573</v>
      </c>
      <c r="U78" s="163">
        <v>22688.2</v>
      </c>
      <c r="V78" s="178">
        <f>U78/T78</f>
        <v>0.90012123611298067</v>
      </c>
      <c r="W78" s="178">
        <f t="shared" si="82"/>
        <v>0.344861911798307</v>
      </c>
      <c r="X78" s="183">
        <f t="shared" si="82"/>
        <v>0.35042559468188134</v>
      </c>
      <c r="Y78" s="163">
        <f>Y53</f>
        <v>21907.7</v>
      </c>
      <c r="Z78" s="163">
        <f>Z53</f>
        <v>21707.8</v>
      </c>
      <c r="AA78" s="178">
        <f>Z78/Y78</f>
        <v>0.99087535432747387</v>
      </c>
      <c r="AB78" s="178">
        <f t="shared" si="83"/>
        <v>0.86915603725250778</v>
      </c>
      <c r="AC78" s="183">
        <f t="shared" si="84"/>
        <v>0.9567881101189164</v>
      </c>
    </row>
    <row r="79" spans="1:29" s="10" customFormat="1" ht="17.25" customHeight="1" x14ac:dyDescent="0.2">
      <c r="A79" s="64" t="s">
        <v>30</v>
      </c>
      <c r="B79" s="102"/>
      <c r="C79" s="103"/>
      <c r="D79" s="40">
        <v>0</v>
      </c>
      <c r="E79" s="104"/>
      <c r="F79" s="105"/>
      <c r="G79" s="41">
        <v>0</v>
      </c>
      <c r="H79" s="41">
        <v>0</v>
      </c>
      <c r="I79" s="42">
        <v>0</v>
      </c>
      <c r="J79" s="106">
        <v>327.3</v>
      </c>
      <c r="K79" s="108">
        <v>326.8</v>
      </c>
      <c r="L79" s="41">
        <f t="shared" si="80"/>
        <v>0.99847234952642838</v>
      </c>
      <c r="M79" s="41">
        <v>0</v>
      </c>
      <c r="N79" s="42">
        <v>0</v>
      </c>
      <c r="O79" s="106">
        <v>413.3</v>
      </c>
      <c r="P79" s="108">
        <v>403.3</v>
      </c>
      <c r="Q79" s="222">
        <f>P79/O79</f>
        <v>0.97580450036293254</v>
      </c>
      <c r="R79" s="222">
        <f t="shared" si="78"/>
        <v>1.2627558814543232</v>
      </c>
      <c r="S79" s="223">
        <f t="shared" si="79"/>
        <v>1.2340881272949817</v>
      </c>
      <c r="T79" s="163">
        <v>426.13788</v>
      </c>
      <c r="U79" s="163">
        <v>426.1</v>
      </c>
      <c r="V79" s="178">
        <f>U79/T79</f>
        <v>0.99991110858297794</v>
      </c>
      <c r="W79" s="178">
        <f t="shared" si="82"/>
        <v>1.0310618920880716</v>
      </c>
      <c r="X79" s="183">
        <f t="shared" si="82"/>
        <v>1.0565335978180015</v>
      </c>
      <c r="Y79" s="163">
        <f>Y57</f>
        <v>499</v>
      </c>
      <c r="Z79" s="163">
        <f>Z57</f>
        <v>466.8</v>
      </c>
      <c r="AA79" s="178">
        <f>Z79/Y79</f>
        <v>0.93547094188376756</v>
      </c>
      <c r="AB79" s="178">
        <f t="shared" si="83"/>
        <v>1.1709824998425393</v>
      </c>
      <c r="AC79" s="183">
        <f t="shared" si="84"/>
        <v>1.0955174841586481</v>
      </c>
    </row>
    <row r="80" spans="1:29" s="10" customFormat="1" ht="13.5" x14ac:dyDescent="0.2">
      <c r="A80" s="64" t="s">
        <v>24</v>
      </c>
      <c r="B80" s="102"/>
      <c r="C80" s="103"/>
      <c r="D80" s="40">
        <v>0</v>
      </c>
      <c r="E80" s="104"/>
      <c r="F80" s="105"/>
      <c r="G80" s="41">
        <v>0</v>
      </c>
      <c r="H80" s="41">
        <v>0</v>
      </c>
      <c r="I80" s="42">
        <v>0</v>
      </c>
      <c r="J80" s="106"/>
      <c r="K80" s="108"/>
      <c r="L80" s="41">
        <v>0</v>
      </c>
      <c r="M80" s="41">
        <v>0</v>
      </c>
      <c r="N80" s="42">
        <v>0</v>
      </c>
      <c r="O80" s="106">
        <v>4571.3999999999996</v>
      </c>
      <c r="P80" s="108">
        <v>4571.3999999999996</v>
      </c>
      <c r="Q80" s="222">
        <f>P80/O80</f>
        <v>1</v>
      </c>
      <c r="R80" s="222">
        <v>0</v>
      </c>
      <c r="S80" s="223">
        <v>0</v>
      </c>
      <c r="T80" s="163">
        <v>0</v>
      </c>
      <c r="U80" s="163">
        <v>0</v>
      </c>
      <c r="V80" s="178">
        <v>0</v>
      </c>
      <c r="W80" s="178">
        <f t="shared" si="60"/>
        <v>0</v>
      </c>
      <c r="X80" s="183">
        <f t="shared" si="61"/>
        <v>0</v>
      </c>
      <c r="Y80" s="163">
        <v>0</v>
      </c>
      <c r="Z80" s="163">
        <v>0</v>
      </c>
      <c r="AA80" s="178">
        <v>0</v>
      </c>
      <c r="AB80" s="178">
        <v>0</v>
      </c>
      <c r="AC80" s="178">
        <v>0</v>
      </c>
    </row>
    <row r="81" spans="1:29" s="10" customFormat="1" ht="13.5" x14ac:dyDescent="0.2">
      <c r="A81" s="64" t="s">
        <v>52</v>
      </c>
      <c r="B81" s="102">
        <v>1803</v>
      </c>
      <c r="C81" s="103">
        <v>1803</v>
      </c>
      <c r="D81" s="40">
        <f t="shared" si="49"/>
        <v>1</v>
      </c>
      <c r="E81" s="104">
        <v>3171.4</v>
      </c>
      <c r="F81" s="103">
        <v>3171.4</v>
      </c>
      <c r="G81" s="41">
        <f t="shared" si="76"/>
        <v>1</v>
      </c>
      <c r="H81" s="41">
        <f t="shared" si="85"/>
        <v>1.7589572933998892</v>
      </c>
      <c r="I81" s="42">
        <f t="shared" si="81"/>
        <v>1.7589572933998892</v>
      </c>
      <c r="J81" s="106">
        <v>2066.6</v>
      </c>
      <c r="K81" s="108">
        <v>1717.7</v>
      </c>
      <c r="L81" s="41">
        <f t="shared" si="80"/>
        <v>0.83117197328946102</v>
      </c>
      <c r="M81" s="41">
        <f>J81/E81</f>
        <v>0.65163650122974082</v>
      </c>
      <c r="N81" s="42">
        <f t="shared" si="77"/>
        <v>0.54162199659456389</v>
      </c>
      <c r="O81" s="106">
        <v>9044.4</v>
      </c>
      <c r="P81" s="108">
        <v>6543.9</v>
      </c>
      <c r="Q81" s="222">
        <f>P81/O81</f>
        <v>0.72353058245986468</v>
      </c>
      <c r="R81" s="222">
        <f t="shared" si="78"/>
        <v>4.3764637568953839</v>
      </c>
      <c r="S81" s="223">
        <f t="shared" si="79"/>
        <v>3.8096873726494729</v>
      </c>
      <c r="T81" s="163">
        <v>0</v>
      </c>
      <c r="U81" s="163">
        <v>0</v>
      </c>
      <c r="V81" s="178">
        <v>0</v>
      </c>
      <c r="W81" s="178">
        <f t="shared" si="60"/>
        <v>0</v>
      </c>
      <c r="X81" s="183">
        <f t="shared" si="61"/>
        <v>0</v>
      </c>
      <c r="Y81" s="163">
        <v>0</v>
      </c>
      <c r="Z81" s="163">
        <v>0</v>
      </c>
      <c r="AA81" s="178">
        <v>0</v>
      </c>
      <c r="AB81" s="178">
        <v>0</v>
      </c>
      <c r="AC81" s="178">
        <v>0</v>
      </c>
    </row>
    <row r="82" spans="1:29" s="10" customFormat="1" ht="40.5" hidden="1" customHeight="1" x14ac:dyDescent="0.2">
      <c r="A82" s="115" t="s">
        <v>53</v>
      </c>
      <c r="B82" s="116"/>
      <c r="C82" s="117"/>
      <c r="D82" s="118">
        <v>0</v>
      </c>
      <c r="E82" s="119"/>
      <c r="F82" s="117"/>
      <c r="G82" s="120">
        <v>0</v>
      </c>
      <c r="H82" s="121">
        <v>0</v>
      </c>
      <c r="I82" s="122">
        <v>0</v>
      </c>
      <c r="J82" s="123">
        <v>3220</v>
      </c>
      <c r="K82" s="117">
        <v>3220</v>
      </c>
      <c r="L82" s="121">
        <f t="shared" si="80"/>
        <v>1</v>
      </c>
      <c r="M82" s="121">
        <v>0</v>
      </c>
      <c r="N82" s="124">
        <v>0</v>
      </c>
      <c r="O82" s="123"/>
      <c r="P82" s="117"/>
      <c r="Q82" s="224">
        <v>0</v>
      </c>
      <c r="R82" s="224">
        <v>0</v>
      </c>
      <c r="S82" s="225">
        <v>0</v>
      </c>
      <c r="T82" s="164">
        <v>0</v>
      </c>
      <c r="U82" s="164">
        <v>0</v>
      </c>
      <c r="V82" s="184">
        <v>0</v>
      </c>
      <c r="W82" s="184">
        <v>0</v>
      </c>
      <c r="X82" s="185">
        <v>0</v>
      </c>
      <c r="Y82" s="164">
        <v>0</v>
      </c>
      <c r="Z82" s="164">
        <v>0</v>
      </c>
      <c r="AA82" s="184">
        <v>0</v>
      </c>
      <c r="AB82" s="184">
        <v>0</v>
      </c>
      <c r="AC82" s="185">
        <v>0</v>
      </c>
    </row>
    <row r="83" spans="1:29" s="10" customFormat="1" ht="13.5" x14ac:dyDescent="0.2">
      <c r="A83" s="64" t="s">
        <v>25</v>
      </c>
      <c r="B83" s="102">
        <v>1300</v>
      </c>
      <c r="C83" s="103">
        <v>1300</v>
      </c>
      <c r="D83" s="40">
        <f t="shared" si="49"/>
        <v>1</v>
      </c>
      <c r="E83" s="104">
        <v>3278.7</v>
      </c>
      <c r="F83" s="108">
        <v>3144.1</v>
      </c>
      <c r="G83" s="41">
        <f t="shared" si="76"/>
        <v>0.95894714368499712</v>
      </c>
      <c r="H83" s="41">
        <f t="shared" si="85"/>
        <v>2.5220769230769231</v>
      </c>
      <c r="I83" s="42">
        <f t="shared" si="81"/>
        <v>2.4185384615384615</v>
      </c>
      <c r="J83" s="106">
        <v>1055.9000000000001</v>
      </c>
      <c r="K83" s="108">
        <v>1055.9000000000001</v>
      </c>
      <c r="L83" s="41">
        <f t="shared" si="55"/>
        <v>1</v>
      </c>
      <c r="M83" s="41">
        <f>J83/E83</f>
        <v>0.32204837283069515</v>
      </c>
      <c r="N83" s="42">
        <f>K83/F83</f>
        <v>0.33583537419293286</v>
      </c>
      <c r="O83" s="106">
        <v>2156.1999999999998</v>
      </c>
      <c r="P83" s="108">
        <v>2156.1999999999998</v>
      </c>
      <c r="Q83" s="222">
        <f>P83/O83</f>
        <v>1</v>
      </c>
      <c r="R83" s="222">
        <f>O83/J83</f>
        <v>2.042049436499668</v>
      </c>
      <c r="S83" s="223">
        <f>P83/K83</f>
        <v>2.042049436499668</v>
      </c>
      <c r="T83" s="163">
        <v>881.04099999999994</v>
      </c>
      <c r="U83" s="163">
        <v>436.5</v>
      </c>
      <c r="V83" s="178">
        <f>U83/T83</f>
        <v>0.49543664823770972</v>
      </c>
      <c r="W83" s="178">
        <f t="shared" si="60"/>
        <v>0.40860819961042577</v>
      </c>
      <c r="X83" s="183">
        <f t="shared" si="61"/>
        <v>0.20243947685743438</v>
      </c>
      <c r="Y83" s="163">
        <f>Y65</f>
        <v>290.7</v>
      </c>
      <c r="Z83" s="163">
        <f>Z65</f>
        <v>290.7</v>
      </c>
      <c r="AA83" s="178">
        <f>Z83/Y83</f>
        <v>1</v>
      </c>
      <c r="AB83" s="178">
        <f t="shared" ref="AB83:AB87" si="86">Y83/T83</f>
        <v>0.32995059253769121</v>
      </c>
      <c r="AC83" s="183">
        <f t="shared" ref="AC83:AC87" si="87">Z83/U83</f>
        <v>0.66597938144329893</v>
      </c>
    </row>
    <row r="84" spans="1:29" s="10" customFormat="1" ht="25.5" customHeight="1" thickBot="1" x14ac:dyDescent="0.25">
      <c r="A84" s="64" t="s">
        <v>32</v>
      </c>
      <c r="B84" s="109">
        <v>5386</v>
      </c>
      <c r="C84" s="110">
        <v>5386</v>
      </c>
      <c r="D84" s="40">
        <f t="shared" si="49"/>
        <v>1</v>
      </c>
      <c r="E84" s="104">
        <v>3159.9</v>
      </c>
      <c r="F84" s="103">
        <v>2310.6999999999998</v>
      </c>
      <c r="G84" s="41">
        <f t="shared" si="76"/>
        <v>0.73125731826956542</v>
      </c>
      <c r="H84" s="41">
        <f t="shared" si="85"/>
        <v>0.58668770887486077</v>
      </c>
      <c r="I84" s="42">
        <f t="shared" si="81"/>
        <v>0.42901968065354618</v>
      </c>
      <c r="J84" s="106">
        <v>3589.9</v>
      </c>
      <c r="K84" s="108">
        <v>2859.3</v>
      </c>
      <c r="L84" s="41">
        <f t="shared" si="55"/>
        <v>0.79648458174322412</v>
      </c>
      <c r="M84" s="41">
        <f>J84/E84</f>
        <v>1.1360802557042944</v>
      </c>
      <c r="N84" s="42">
        <f>K84/F84</f>
        <v>1.2374172328731554</v>
      </c>
      <c r="O84" s="106">
        <v>34842.800000000003</v>
      </c>
      <c r="P84" s="108">
        <v>34842.800000000003</v>
      </c>
      <c r="Q84" s="222">
        <f>P84/O84</f>
        <v>1</v>
      </c>
      <c r="R84" s="222">
        <f>O84/J84</f>
        <v>9.7057856764812396</v>
      </c>
      <c r="S84" s="223">
        <f>P84/K84</f>
        <v>12.185779736299095</v>
      </c>
      <c r="T84" s="165">
        <v>0</v>
      </c>
      <c r="U84" s="163">
        <v>0</v>
      </c>
      <c r="V84" s="186">
        <v>0</v>
      </c>
      <c r="W84" s="186">
        <f t="shared" si="60"/>
        <v>0</v>
      </c>
      <c r="X84" s="186">
        <f t="shared" si="61"/>
        <v>0</v>
      </c>
      <c r="Y84" s="165">
        <v>0</v>
      </c>
      <c r="Z84" s="163">
        <v>0</v>
      </c>
      <c r="AA84" s="186">
        <v>0</v>
      </c>
      <c r="AB84" s="186">
        <v>0</v>
      </c>
      <c r="AC84" s="186">
        <v>0</v>
      </c>
    </row>
    <row r="85" spans="1:29" s="15" customFormat="1" ht="40.5" hidden="1" customHeight="1" thickBot="1" x14ac:dyDescent="0.25">
      <c r="A85" s="115" t="s">
        <v>54</v>
      </c>
      <c r="B85" s="116"/>
      <c r="C85" s="117"/>
      <c r="D85" s="118">
        <v>0</v>
      </c>
      <c r="E85" s="119"/>
      <c r="F85" s="117"/>
      <c r="G85" s="120">
        <v>0</v>
      </c>
      <c r="H85" s="121">
        <v>0</v>
      </c>
      <c r="I85" s="122">
        <v>0</v>
      </c>
      <c r="J85" s="123">
        <v>1290</v>
      </c>
      <c r="K85" s="117">
        <v>1290</v>
      </c>
      <c r="L85" s="121">
        <f>K85/J85</f>
        <v>1</v>
      </c>
      <c r="M85" s="121">
        <v>0</v>
      </c>
      <c r="N85" s="124">
        <v>0</v>
      </c>
      <c r="O85" s="123"/>
      <c r="P85" s="117"/>
      <c r="Q85" s="121">
        <v>0</v>
      </c>
      <c r="R85" s="121">
        <v>0</v>
      </c>
      <c r="S85" s="125">
        <v>0</v>
      </c>
      <c r="T85" s="166">
        <v>0</v>
      </c>
      <c r="U85" s="167">
        <v>0</v>
      </c>
      <c r="V85" s="186" t="e">
        <f t="shared" ref="V85:V87" si="88">U85/T85</f>
        <v>#DIV/0!</v>
      </c>
      <c r="W85" s="186" t="e">
        <f t="shared" si="60"/>
        <v>#DIV/0!</v>
      </c>
      <c r="X85" s="186" t="e">
        <f t="shared" si="61"/>
        <v>#DIV/0!</v>
      </c>
      <c r="Y85" s="166">
        <v>0</v>
      </c>
      <c r="Z85" s="167">
        <v>0</v>
      </c>
      <c r="AA85" s="186" t="e">
        <f t="shared" ref="AA85:AA87" si="89">Z85/Y85</f>
        <v>#DIV/0!</v>
      </c>
      <c r="AB85" s="186" t="e">
        <f t="shared" si="86"/>
        <v>#DIV/0!</v>
      </c>
      <c r="AC85" s="186" t="e">
        <f t="shared" si="87"/>
        <v>#DIV/0!</v>
      </c>
    </row>
    <row r="86" spans="1:29" s="9" customFormat="1" ht="13.5" thickBot="1" x14ac:dyDescent="0.25">
      <c r="A86" s="187" t="s">
        <v>41</v>
      </c>
      <c r="B86" s="188">
        <f>B37+B41+B42+B48+B52+B55+B58+B59+B62+B63+B66+B70+B71+B72+B73</f>
        <v>1362585.7</v>
      </c>
      <c r="C86" s="189">
        <f>C37+C41+C42+C48+C52+C55+C58+C59+C62+C63+C66+C70+C71+C72+C73</f>
        <v>1236933</v>
      </c>
      <c r="D86" s="190">
        <f>C86/B86</f>
        <v>0.9077836351871299</v>
      </c>
      <c r="E86" s="191">
        <f>E37+E41+E42+E48+E52+E55+E58+E59+E62+E63+E66+E70+E71+E72+E73</f>
        <v>1224010.5999999999</v>
      </c>
      <c r="F86" s="192">
        <f>F37+F41+F42+F48+F52+F55+F58+F59+F62+F63+F66+F70+F71+F72+F73</f>
        <v>1185500.1000000001</v>
      </c>
      <c r="G86" s="193">
        <f t="shared" si="76"/>
        <v>0.96853744567244782</v>
      </c>
      <c r="H86" s="193">
        <f t="shared" si="85"/>
        <v>0.89829990143005312</v>
      </c>
      <c r="I86" s="194">
        <f>F86/C86</f>
        <v>0.95841900895198051</v>
      </c>
      <c r="J86" s="188">
        <f>J37+J41+J42+J48+J52+J55+J58+J59+J62+J63+J66+J70+J71+J72+J73</f>
        <v>1709554.2000000002</v>
      </c>
      <c r="K86" s="189">
        <f>K37+K41+K42+K48+K52+K55+K58+K59+K62+K63+K66+K70+K71+K72+K73</f>
        <v>1524250.7</v>
      </c>
      <c r="L86" s="195">
        <f t="shared" si="55"/>
        <v>0.89160712190347624</v>
      </c>
      <c r="M86" s="195">
        <f>J86/E86</f>
        <v>1.3966825123900073</v>
      </c>
      <c r="N86" s="190">
        <f>K86/F86</f>
        <v>1.2857448936528979</v>
      </c>
      <c r="O86" s="188">
        <f>O37+O41+O42+O48+O52+O55+O58+O59+O62+O63+O66+O70+O71+O72+O73</f>
        <v>1608902.2</v>
      </c>
      <c r="P86" s="189">
        <f>P37+P41+P42+P48+P52+P55+P58+P59+P62+P63+P66+P70+P71+P72+P73</f>
        <v>1453214.1999999997</v>
      </c>
      <c r="Q86" s="195">
        <f>P86/O86</f>
        <v>0.90323339728169916</v>
      </c>
      <c r="R86" s="195">
        <f>O86/J86</f>
        <v>0.9411238321663038</v>
      </c>
      <c r="S86" s="196">
        <f>P86/K86</f>
        <v>0.95339578981331596</v>
      </c>
      <c r="T86" s="197">
        <f>SUM(T72+T71+T70+T66+T63+T62+T59+T58+T55+T52+T48+T42+T41+T37)</f>
        <v>1351429.2428800003</v>
      </c>
      <c r="U86" s="198">
        <f>SUM(U72+U71+U70+U66+U63+U62+U59+U58+U55+U52+U48+U42+U41+U37)</f>
        <v>1317124.7097700003</v>
      </c>
      <c r="V86" s="186">
        <f t="shared" si="88"/>
        <v>0.97461610861927606</v>
      </c>
      <c r="W86" s="186">
        <f t="shared" si="60"/>
        <v>0.83996978988530213</v>
      </c>
      <c r="X86" s="186">
        <f t="shared" si="61"/>
        <v>0.90635276600655335</v>
      </c>
      <c r="Y86" s="197">
        <f>SUM(Y72+Y71+Y70+Y66+Y63+Y62+Y59+Y58+Y55+Y52+Y48+Y42+Y41+Y37)</f>
        <v>1424280.4</v>
      </c>
      <c r="Z86" s="198">
        <f>SUM(Z72+Z71+Z70+Z66+Z63+Z62+Z59+Z58+Z55+Z52+Z48+Z42+Z41+Z37)</f>
        <v>1403217.6</v>
      </c>
      <c r="AA86" s="186">
        <f t="shared" si="89"/>
        <v>0.98521161984676631</v>
      </c>
      <c r="AB86" s="186">
        <f t="shared" si="86"/>
        <v>1.0539067490982719</v>
      </c>
      <c r="AC86" s="186">
        <f t="shared" si="87"/>
        <v>1.0653642662622536</v>
      </c>
    </row>
    <row r="87" spans="1:29" s="12" customFormat="1" ht="30.75" customHeight="1" thickBot="1" x14ac:dyDescent="0.35">
      <c r="A87" s="43" t="s">
        <v>43</v>
      </c>
      <c r="B87" s="44">
        <f>B6-B86</f>
        <v>-31991</v>
      </c>
      <c r="C87" s="45">
        <f>C6-C86</f>
        <v>74078.09999999986</v>
      </c>
      <c r="D87" s="46">
        <f>C87/B87</f>
        <v>-2.3155918852177133</v>
      </c>
      <c r="E87" s="44">
        <f>E6-E86</f>
        <v>-87009.199999999953</v>
      </c>
      <c r="F87" s="45">
        <f>F6-F86</f>
        <v>-104589.60000000009</v>
      </c>
      <c r="G87" s="47">
        <f t="shared" si="76"/>
        <v>1.2020521967791928</v>
      </c>
      <c r="H87" s="47">
        <f t="shared" si="85"/>
        <v>2.7198024444374966</v>
      </c>
      <c r="I87" s="46">
        <f>F87/C87</f>
        <v>-1.4118828641663366</v>
      </c>
      <c r="J87" s="48">
        <f>J6-J86</f>
        <v>-52091</v>
      </c>
      <c r="K87" s="49">
        <f>K6-K86</f>
        <v>29048.5</v>
      </c>
      <c r="L87" s="50">
        <f t="shared" si="55"/>
        <v>-0.55764911405041173</v>
      </c>
      <c r="M87" s="50">
        <f>J87/E87</f>
        <v>0.59868381734345366</v>
      </c>
      <c r="N87" s="51">
        <f>K87/F87</f>
        <v>-0.27773793952744796</v>
      </c>
      <c r="O87" s="48">
        <f>O6-O86</f>
        <v>-128047.19999999995</v>
      </c>
      <c r="P87" s="49">
        <f>P6-P86</f>
        <v>-29558.399999999674</v>
      </c>
      <c r="Q87" s="226">
        <f>P87/O87</f>
        <v>0.2308398777950606</v>
      </c>
      <c r="R87" s="226">
        <f>O87/J87</f>
        <v>2.4581444011441507</v>
      </c>
      <c r="S87" s="227">
        <f>P87/K87</f>
        <v>-1.0175534020689425</v>
      </c>
      <c r="T87" s="168">
        <f>T6-T86</f>
        <v>-89769.323980000103</v>
      </c>
      <c r="U87" s="169">
        <f>U6-U86</f>
        <v>-95563.597370000323</v>
      </c>
      <c r="V87" s="186">
        <f t="shared" si="88"/>
        <v>1.0645462518052506</v>
      </c>
      <c r="W87" s="186">
        <f t="shared" si="60"/>
        <v>0.70106432612349301</v>
      </c>
      <c r="X87" s="186">
        <f t="shared" si="61"/>
        <v>3.2330436481677416</v>
      </c>
      <c r="Y87" s="168">
        <f>Y6-Y86</f>
        <v>-12917</v>
      </c>
      <c r="Z87" s="169">
        <f>Z6-Z86</f>
        <v>5402.7998299999163</v>
      </c>
      <c r="AA87" s="186">
        <f t="shared" si="89"/>
        <v>-0.41827048308430104</v>
      </c>
      <c r="AB87" s="186">
        <f t="shared" si="86"/>
        <v>0.14389102454283609</v>
      </c>
      <c r="AC87" s="186">
        <f t="shared" si="87"/>
        <v>-5.6536170452871452E-2</v>
      </c>
    </row>
    <row r="90" spans="1:29" s="8" customFormat="1" ht="14" x14ac:dyDescent="0.3">
      <c r="A90" s="7" t="s">
        <v>78</v>
      </c>
      <c r="M90" s="20"/>
      <c r="N90" s="20"/>
      <c r="R90" s="20"/>
      <c r="S90" s="20"/>
      <c r="T90" s="170"/>
      <c r="U90" s="170"/>
      <c r="Y90" s="170"/>
      <c r="Z90" s="170"/>
    </row>
    <row r="91" spans="1:29" ht="13" x14ac:dyDescent="0.25">
      <c r="T91" s="172"/>
      <c r="U91" s="172"/>
      <c r="Y91" s="172"/>
      <c r="Z91" s="172"/>
    </row>
    <row r="92" spans="1:29" x14ac:dyDescent="0.25">
      <c r="J92" s="173"/>
      <c r="K92" s="173"/>
      <c r="L92" s="173"/>
      <c r="M92" s="173"/>
      <c r="N92" s="173"/>
      <c r="O92" s="173"/>
      <c r="P92" s="173"/>
    </row>
    <row r="95" spans="1:29" x14ac:dyDescent="0.25">
      <c r="O95" s="175"/>
    </row>
  </sheetData>
  <mergeCells count="19">
    <mergeCell ref="A3:AC3"/>
    <mergeCell ref="O4:Q4"/>
    <mergeCell ref="R4:R5"/>
    <mergeCell ref="S4:S5"/>
    <mergeCell ref="Y4:AA4"/>
    <mergeCell ref="AB4:AB5"/>
    <mergeCell ref="AC4:AC5"/>
    <mergeCell ref="A36:AC36"/>
    <mergeCell ref="T4:V4"/>
    <mergeCell ref="W4:W5"/>
    <mergeCell ref="X4:X5"/>
    <mergeCell ref="M4:M5"/>
    <mergeCell ref="N4:N5"/>
    <mergeCell ref="A4:A5"/>
    <mergeCell ref="E4:G4"/>
    <mergeCell ref="I4:I5"/>
    <mergeCell ref="B4:D4"/>
    <mergeCell ref="H4:H5"/>
    <mergeCell ref="J4:L4"/>
  </mergeCells>
  <phoneticPr fontId="0" type="noConversion"/>
  <pageMargins left="0.25" right="0.25" top="0.75" bottom="0.75" header="0.3" footer="0.3"/>
  <pageSetup paperSize="8" scale="75" fitToHeight="0" orientation="landscape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</dc:creator>
  <cp:lastModifiedBy>оо</cp:lastModifiedBy>
  <cp:lastPrinted>2017-05-23T04:39:20Z</cp:lastPrinted>
  <dcterms:created xsi:type="dcterms:W3CDTF">2009-02-11T16:43:31Z</dcterms:created>
  <dcterms:modified xsi:type="dcterms:W3CDTF">2017-05-23T07:25:07Z</dcterms:modified>
</cp:coreProperties>
</file>